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5.xml" ContentType="application/vnd.openxmlformats-officedocument.drawing+xml"/>
  <Override PartName="/xl/worksheets/sheet9.xml" ContentType="application/vnd.openxmlformats-officedocument.spreadsheetml.worksheet+xml"/>
  <Override PartName="/xl/drawings/drawing6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OIL_REVENUE_MODEL" sheetId="3" state="visible" r:id="rId3"/>
    <sheet xmlns:r="http://schemas.openxmlformats.org/officeDocument/2006/relationships" name="MINING_REVENUE_MODEL" sheetId="4" state="visible" r:id="rId4"/>
    <sheet xmlns:r="http://schemas.openxmlformats.org/officeDocument/2006/relationships" name="PRIVATIZATION_PROGRAM" sheetId="5" state="visible" r:id="rId5"/>
    <sheet xmlns:r="http://schemas.openxmlformats.org/officeDocument/2006/relationships" name="SWF_BUILD" sheetId="6" state="visible" r:id="rId6"/>
    <sheet xmlns:r="http://schemas.openxmlformats.org/officeDocument/2006/relationships" name="BOND_EXCHANGE" sheetId="7" state="visible" r:id="rId7"/>
    <sheet xmlns:r="http://schemas.openxmlformats.org/officeDocument/2006/relationships" name="DEBT_SERVICE_COVERAGE" sheetId="8" state="visible" r:id="rId8"/>
    <sheet xmlns:r="http://schemas.openxmlformats.org/officeDocument/2006/relationships" name="BVC_LISTING_VALUATION" sheetId="9" state="visible" r:id="rId9"/>
    <sheet xmlns:r="http://schemas.openxmlformats.org/officeDocument/2006/relationships" name="SENSITIVITY_OIL_PRICE" sheetId="10" state="visible" r:id="rId10"/>
    <sheet xmlns:r="http://schemas.openxmlformats.org/officeDocument/2006/relationships" name="SENSITIVITY_RECOVERY" sheetId="11" state="visible" r:id="rId11"/>
    <sheet xmlns:r="http://schemas.openxmlformats.org/officeDocument/2006/relationships" name="SCENARIO_DASHBOARD" sheetId="12" state="visible" r:id="rId12"/>
    <sheet xmlns:r="http://schemas.openxmlformats.org/officeDocument/2006/relationships" name="LAW_REFORM_TIMELINE" sheetId="13" state="visible" r:id="rId13"/>
  </sheets>
  <definedNames>
    <definedName name="oil_price">ASSUMPTIONS!$C$5</definedName>
    <definedName name="oil_prod_y10">ASSUMPTIONS!$C$6</definedName>
    <definedName name="royalty_oil">ASSUMPTIONS!$C$7</definedName>
    <definedName name="royalty_mining">ASSUMPTIONS!$C$8</definedName>
    <definedName name="cit_rate">ASSUMPTIONS!$C$9</definedName>
    <definedName name="wacc">ASSUMPTIONS!$C$10</definedName>
    <definedName name="recovery_rate">ASSUMPTIONS!$C$11</definedName>
    <definedName name="y20_target">ASSUMPTIONS!$C$12</definedName>
    <definedName name="fx_y20">ASSUMPTIONS!$C$13</definedName>
    <definedName name="priv_discount">ASSUMPTIONS!$C$14</definedName>
    <definedName name="swf_return">ASSUMPTIONS!$C$15</definedName>
    <definedName name="swf_spend">ASSUMPTIONS!$C$16</definedName>
    <definedName name="new_coupon">ASSUMPTIONS!$C$17</definedName>
    <definedName name="new_tenor">ASSUMPTIONS!$C$18</definedName>
    <definedName name="scen_bear">ASSUMPTIONS!$C$19</definedName>
    <definedName name="scen_bull">ASSUMPTIONS!$C$20</definedName>
    <definedName name="oil_gov_y5">OIL_REVENUE_MODEL!$H$12</definedName>
    <definedName name="oil_gov_y10">OIL_REVENUE_MODEL!$M$12</definedName>
    <definedName name="mining_gov_y5">MINING_REVENUE_MODEL!$G$13</definedName>
    <definedName name="priv_proceeds_base">PRIVATIZATION_PROGRAM!$I$46</definedName>
    <definedName name="priv_proceeds_bear">PRIVATIZATION_PROGRAM!$H$46</definedName>
    <definedName name="priv_proceeds_bull">PRIVATIZATION_PROGRAM!$J$46</definedName>
    <definedName name="swf_aum_y20">SWF_BUILD!$W$9</definedName>
    <definedName name="swf_aum_y10">SWF_BUILD!$M$9</definedName>
    <definedName name="bond_npv">BOND_EXCHANGE!$C$16</definedName>
    <definedName name="bond_price_cents">BOND_EXCHANGE!$C$17</definedName>
    <definedName name="bvc_market_cap_y3">BVC_LISTING_VALUATION!$H$53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&quot;$&quot;#,##0;[Red]-&quot;$&quot;#,##0"/>
    <numFmt numFmtId="166" formatCode="0.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0D47A1"/>
      <sz val="10"/>
    </font>
    <font>
      <name val="Calibri"/>
      <sz val="10"/>
    </font>
    <font>
      <b val="1"/>
      <sz val="11"/>
    </font>
    <font>
      <name val="Calibri"/>
      <b val="1"/>
      <color rgb="001F2A44"/>
      <sz val="11"/>
    </font>
    <font>
      <name val="Calibri"/>
      <i val="1"/>
      <color rgb="00424242"/>
      <sz val="10"/>
    </font>
    <font>
      <name val="Calibri"/>
      <b val="1"/>
      <color rgb="00FFFFFF"/>
      <sz val="22"/>
    </font>
  </fonts>
  <fills count="11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FFF9C4"/>
      </patternFill>
    </fill>
    <fill>
      <patternFill patternType="solid">
        <fgColor rgb="00F1F3F5"/>
      </patternFill>
    </fill>
    <fill>
      <patternFill patternType="solid">
        <fgColor rgb="00C9A961"/>
      </patternFill>
    </fill>
    <fill>
      <patternFill patternType="solid">
        <fgColor rgb="00E8EAF6"/>
      </patternFill>
    </fill>
    <fill>
      <patternFill patternType="solid">
        <fgColor rgb="00FFCCBC"/>
      </patternFill>
    </fill>
    <fill>
      <patternFill patternType="solid">
        <fgColor rgb="00FFF59D"/>
      </patternFill>
    </fill>
    <fill>
      <patternFill patternType="solid">
        <fgColor rgb="00C8E6C9"/>
      </patternFill>
    </fill>
    <fill>
      <patternFill patternType="solid">
        <fgColor rgb="00FFCDD2"/>
      </patternFill>
    </fill>
  </fills>
  <borders count="7">
    <border>
      <left/>
      <right/>
      <top/>
      <bottom/>
      <diagonal/>
    </border>
    <border>
      <left style="medium">
        <color rgb="001F2A44"/>
      </left>
      <right style="medium">
        <color rgb="001F2A44"/>
      </right>
      <top style="medium">
        <color rgb="001F2A44"/>
      </top>
      <bottom style="medium">
        <color rgb="001F2A44"/>
      </bottom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  <border>
      <left/>
      <right/>
      <top style="thin">
        <color rgb="009E9E9E"/>
      </top>
      <bottom/>
      <diagonal/>
    </border>
    <border>
      <left/>
      <right style="thin">
        <color rgb="009E9E9E"/>
      </right>
      <top style="thin">
        <color rgb="009E9E9E"/>
      </top>
      <bottom/>
      <diagonal/>
    </border>
    <border>
      <left/>
      <right/>
      <top style="thin">
        <color rgb="009E9E9E"/>
      </top>
      <bottom style="thin">
        <color rgb="009E9E9E"/>
      </bottom>
      <diagonal/>
    </border>
    <border>
      <left/>
      <right style="thin">
        <color rgb="009E9E9E"/>
      </right>
      <top style="thin">
        <color rgb="009E9E9E"/>
      </top>
      <bottom style="thin">
        <color rgb="009E9E9E"/>
      </bottom>
      <diagonal/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9" fillId="2" borderId="0" applyAlignment="1" pivotButton="0" quotePrefix="0" xfId="0">
      <alignment horizontal="center" vertical="center" wrapText="1"/>
    </xf>
    <xf numFmtId="0" fontId="5" fillId="0" borderId="0" pivotButton="0" quotePrefix="0" xfId="0"/>
    <xf numFmtId="0" fontId="7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left" vertical="center" wrapText="1"/>
    </xf>
    <xf numFmtId="3" fontId="4" fillId="3" borderId="2" applyAlignment="1" applyProtection="1" pivotButton="0" quotePrefix="0" xfId="0">
      <alignment horizontal="right" vertical="center"/>
      <protection locked="0" hidden="0"/>
    </xf>
    <xf numFmtId="3" fontId="5" fillId="0" borderId="2" applyAlignment="1" pivotButton="0" quotePrefix="0" xfId="0">
      <alignment horizontal="right" vertical="center"/>
    </xf>
    <xf numFmtId="0" fontId="5" fillId="0" borderId="2" applyAlignment="1" pivotButton="0" quotePrefix="0" xfId="0">
      <alignment horizontal="left" vertical="center" wrapText="1"/>
    </xf>
    <xf numFmtId="164" fontId="4" fillId="3" borderId="2" applyAlignment="1" applyProtection="1" pivotButton="0" quotePrefix="0" xfId="0">
      <alignment horizontal="right" vertical="center"/>
      <protection locked="0" hidden="0"/>
    </xf>
    <xf numFmtId="164" fontId="5" fillId="0" borderId="2" applyAlignment="1" pivotButton="0" quotePrefix="0" xfId="0">
      <alignment horizontal="right" vertical="center"/>
    </xf>
    <xf numFmtId="0" fontId="6" fillId="0" borderId="0" pivotButton="0" quotePrefix="0" xfId="0"/>
    <xf numFmtId="0" fontId="0" fillId="3" borderId="0" pivotButton="0" quotePrefix="0" xfId="0"/>
    <xf numFmtId="0" fontId="0" fillId="4" borderId="0" pivotButton="0" quotePrefix="0" xfId="0"/>
    <xf numFmtId="0" fontId="7" fillId="5" borderId="2" applyAlignment="1" pivotButton="0" quotePrefix="0" xfId="0">
      <alignment horizontal="left" vertical="center" wrapText="1"/>
    </xf>
    <xf numFmtId="3" fontId="8" fillId="4" borderId="2" applyAlignment="1" pivotButton="0" quotePrefix="0" xfId="0">
      <alignment horizontal="right" vertical="center"/>
    </xf>
    <xf numFmtId="165" fontId="8" fillId="4" borderId="2" applyAlignment="1" pivotButton="0" quotePrefix="0" xfId="0">
      <alignment horizontal="right" vertical="center"/>
    </xf>
    <xf numFmtId="6" fontId="8" fillId="4" borderId="2" applyAlignment="1" pivotButton="0" quotePrefix="0" xfId="0">
      <alignment horizontal="right" vertical="center"/>
    </xf>
    <xf numFmtId="6" fontId="7" fillId="6" borderId="2" applyAlignment="1" pivotButton="0" quotePrefix="0" xfId="0">
      <alignment horizontal="right" vertical="center"/>
    </xf>
    <xf numFmtId="0" fontId="0" fillId="0" borderId="5" pivotButton="0" quotePrefix="0" xfId="0"/>
    <xf numFmtId="0" fontId="0" fillId="0" borderId="6" pivotButton="0" quotePrefix="0" xfId="0"/>
    <xf numFmtId="4" fontId="4" fillId="3" borderId="2" applyAlignment="1" applyProtection="1" pivotButton="0" quotePrefix="0" xfId="0">
      <alignment horizontal="right" vertical="center"/>
      <protection locked="0" hidden="0"/>
    </xf>
    <xf numFmtId="0" fontId="5" fillId="0" borderId="2" applyAlignment="1" pivotButton="0" quotePrefix="0" xfId="0">
      <alignment horizontal="center" vertical="center" wrapText="1"/>
    </xf>
    <xf numFmtId="165" fontId="4" fillId="3" borderId="2" applyAlignment="1" applyProtection="1" pivotButton="0" quotePrefix="0" xfId="0">
      <alignment horizontal="right" vertical="center"/>
      <protection locked="0" hidden="0"/>
    </xf>
    <xf numFmtId="6" fontId="4" fillId="3" borderId="2" applyAlignment="1" applyProtection="1" pivotButton="0" quotePrefix="0" xfId="0">
      <alignment horizontal="right" vertical="center"/>
      <protection locked="0" hidden="0"/>
    </xf>
    <xf numFmtId="164" fontId="7" fillId="6" borderId="2" applyAlignment="1" pivotButton="0" quotePrefix="0" xfId="0">
      <alignment horizontal="right" vertical="center"/>
    </xf>
    <xf numFmtId="164" fontId="8" fillId="4" borderId="2" applyAlignment="1" pivotButton="0" quotePrefix="0" xfId="0">
      <alignment horizontal="right" vertical="center"/>
    </xf>
    <xf numFmtId="4" fontId="8" fillId="4" borderId="2" applyAlignment="1" pivotButton="0" quotePrefix="0" xfId="0">
      <alignment horizontal="right" vertical="center"/>
    </xf>
    <xf numFmtId="4" fontId="7" fillId="6" borderId="2" applyAlignment="1" pivotButton="0" quotePrefix="0" xfId="0">
      <alignment horizontal="right" vertical="center"/>
    </xf>
    <xf numFmtId="2" fontId="7" fillId="6" borderId="2" applyAlignment="1" pivotButton="0" quotePrefix="0" xfId="0">
      <alignment horizontal="right" vertical="center"/>
    </xf>
    <xf numFmtId="0" fontId="5" fillId="0" borderId="2" pivotButton="0" quotePrefix="0" xfId="0"/>
    <xf numFmtId="165" fontId="2" fillId="2" borderId="1" applyAlignment="1" pivotButton="0" quotePrefix="0" xfId="0">
      <alignment horizontal="center" vertical="center" wrapText="1"/>
    </xf>
    <xf numFmtId="3" fontId="3" fillId="5" borderId="2" applyAlignment="1" pivotButton="0" quotePrefix="0" xfId="0">
      <alignment horizontal="center" vertical="center" wrapText="1"/>
    </xf>
    <xf numFmtId="3" fontId="7" fillId="5" borderId="2" applyAlignment="1" pivotButton="0" quotePrefix="0" xfId="0">
      <alignment horizontal="left" vertical="center" wrapText="1"/>
    </xf>
    <xf numFmtId="164" fontId="2" fillId="2" borderId="1" applyAlignment="1" pivotButton="0" quotePrefix="0" xfId="0">
      <alignment horizontal="center" vertical="center" wrapText="1"/>
    </xf>
    <xf numFmtId="164" fontId="7" fillId="5" borderId="2" applyAlignment="1" pivotButton="0" quotePrefix="0" xfId="0">
      <alignment horizontal="left" vertical="center" wrapText="1"/>
    </xf>
    <xf numFmtId="166" fontId="8" fillId="4" borderId="2" applyAlignment="1" pivotButton="0" quotePrefix="0" xfId="0">
      <alignment horizontal="right" vertical="center"/>
    </xf>
    <xf numFmtId="4" fontId="8" fillId="7" borderId="2" applyAlignment="1" pivotButton="0" quotePrefix="0" xfId="0">
      <alignment horizontal="right" vertical="center"/>
    </xf>
    <xf numFmtId="4" fontId="7" fillId="8" borderId="2" applyAlignment="1" pivotButton="0" quotePrefix="0" xfId="0">
      <alignment horizontal="right" vertical="center"/>
    </xf>
    <xf numFmtId="4" fontId="7" fillId="9" borderId="2" applyAlignment="1" pivotButton="0" quotePrefix="0" xfId="0">
      <alignment horizontal="right" vertical="center"/>
    </xf>
    <xf numFmtId="2" fontId="8" fillId="7" borderId="2" applyAlignment="1" pivotButton="0" quotePrefix="0" xfId="0">
      <alignment horizontal="right" vertical="center"/>
    </xf>
    <xf numFmtId="2" fontId="7" fillId="8" borderId="2" applyAlignment="1" pivotButton="0" quotePrefix="0" xfId="0">
      <alignment horizontal="right" vertical="center"/>
    </xf>
    <xf numFmtId="2" fontId="7" fillId="9" borderId="2" applyAlignment="1" pivotButton="0" quotePrefix="0" xfId="0">
      <alignment horizontal="right" vertical="center"/>
    </xf>
    <xf numFmtId="164" fontId="8" fillId="7" borderId="2" applyAlignment="1" pivotButton="0" quotePrefix="0" xfId="0">
      <alignment horizontal="right" vertical="center"/>
    </xf>
    <xf numFmtId="164" fontId="7" fillId="8" borderId="2" applyAlignment="1" pivotButton="0" quotePrefix="0" xfId="0">
      <alignment horizontal="right" vertical="center"/>
    </xf>
    <xf numFmtId="164" fontId="7" fillId="9" borderId="2" applyAlignment="1" pivotButton="0" quotePrefix="0" xfId="0">
      <alignment horizontal="right" vertical="center"/>
    </xf>
    <xf numFmtId="0" fontId="0" fillId="0" borderId="2" applyAlignment="1" pivotButton="0" quotePrefix="0" xfId="0">
      <alignment horizontal="center" vertical="center" wrapText="1"/>
    </xf>
    <xf numFmtId="0" fontId="5" fillId="10" borderId="2" applyAlignment="1" pivotButton="0" quotePrefix="0" xfId="0">
      <alignment horizontal="center" vertical="center" wrapText="1"/>
    </xf>
    <xf numFmtId="0" fontId="5" fillId="8" borderId="2" applyAlignment="1" pivotButton="0" quotePrefix="0" xfId="0">
      <alignment horizontal="center" vertical="center" wrapText="1"/>
    </xf>
    <xf numFmtId="0" fontId="5" fillId="9" borderId="2" applyAlignment="1" pivotButton="0" quotePrefix="0" xfId="0">
      <alignment horizontal="center" vertical="center" wrapText="1"/>
    </xf>
    <xf numFmtId="3" fontId="7" fillId="6" borderId="2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ill>
        <patternFill patternType="solid">
          <fgColor rgb="00FFCDD2"/>
        </patternFill>
      </fill>
    </dxf>
    <dxf>
      <fill>
        <patternFill patternType="solid">
          <fgColor rgb="00C8E6C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Government Oil Revenue Y0-Y10</a:t>
            </a:r>
          </a:p>
        </rich>
      </tx>
    </title>
    <plotArea>
      <lineChart>
        <grouping val="standard"/>
        <ser>
          <idx val="0"/>
          <order val="0"/>
          <tx>
            <v>Gov Oil Take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'OIL_REVENUE_MODEL'!$C$12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'OIL_REVENUE_MODEL'!$D$12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'OIL_REVENUE_MODEL'!$E$12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'OIL_REVENUE_MODEL'!$F$12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'OIL_REVENUE_MODEL'!$G$12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'OIL_REVENUE_MODEL'!$H$12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'OIL_REVENUE_MODEL'!$I$12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'OIL_REVENUE_MODEL'!$J$12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'OIL_REVENUE_MODEL'!$K$12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'OIL_REVENUE_MODEL'!$L$12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'OIL_REVENUE_MODEL'!$C$4:$M$4</f>
            </numRef>
          </cat>
          <val>
            <numRef>
              <f>'OIL_REVENUE_MODEL'!$M$12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Año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mmUSD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Mining Gross Revenue by Commodity (Y5)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'MINING_REVENUE_MODEL'!F4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'MINING_REVENUE_MODEL'!$B$5:$B$12</f>
            </numRef>
          </cat>
          <val>
            <numRef>
              <f>'MINING_REVENUE_MODEL'!$F$5:$F$12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mmUSD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IPO Proceeds (Base Case)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'PRIVATIZATION_PROGRAM'!I4</f>
            </strRef>
          </tx>
          <spPr>
            <a:ln xmlns:a="http://schemas.openxmlformats.org/drawingml/2006/main">
              <a:prstDash val="solid"/>
            </a:ln>
          </spPr>
          <cat>
            <numRef>
              <f>'PRIVATIZATION_PROGRAM'!$B$5:$B$19</f>
            </numRef>
          </cat>
          <val>
            <numRef>
              <f>'PRIVATIZATION_PROGRAM'!$I$5:$I$19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FSI AUM Trajectory (Y0–Y20)</a:t>
            </a:r>
          </a:p>
        </rich>
      </tx>
    </title>
    <plotArea>
      <area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'SWF_BUILD'!$C$9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'SWF_BUILD'!$D$9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'SWF_BUILD'!$E$9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'SWF_BUILD'!$F$9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'SWF_BUILD'!$G$9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'SWF_BUILD'!$H$9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'SWF_BUILD'!$I$9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'SWF_BUILD'!$J$9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'SWF_BUILD'!$K$9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'SWF_BUILD'!$L$9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'SWF_BUILD'!$M$9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'SWF_BUILD'!$N$9</f>
            </numRef>
          </val>
        </ser>
        <ser>
          <idx val="12"/>
          <order val="12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'SWF_BUILD'!$O$9</f>
            </numRef>
          </val>
        </ser>
        <ser>
          <idx val="13"/>
          <order val="13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'SWF_BUILD'!$P$9</f>
            </numRef>
          </val>
        </ser>
        <ser>
          <idx val="14"/>
          <order val="14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'SWF_BUILD'!$Q$9</f>
            </numRef>
          </val>
        </ser>
        <ser>
          <idx val="15"/>
          <order val="15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'SWF_BUILD'!$R$9</f>
            </numRef>
          </val>
        </ser>
        <ser>
          <idx val="16"/>
          <order val="16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'SWF_BUILD'!$S$9</f>
            </numRef>
          </val>
        </ser>
        <ser>
          <idx val="17"/>
          <order val="17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'SWF_BUILD'!$T$9</f>
            </numRef>
          </val>
        </ser>
        <ser>
          <idx val="18"/>
          <order val="18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'SWF_BUILD'!$U$9</f>
            </numRef>
          </val>
        </ser>
        <ser>
          <idx val="19"/>
          <order val="19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'SWF_BUILD'!$V$9</f>
            </numRef>
          </val>
        </ser>
        <ser>
          <idx val="20"/>
          <order val="20"/>
          <spPr>
            <a:ln xmlns:a="http://schemas.openxmlformats.org/drawingml/2006/main">
              <a:prstDash val="solid"/>
            </a:ln>
          </spPr>
          <cat>
            <numRef>
              <f>'SWF_BUILD'!$C$4:$W$4</f>
            </numRef>
          </cat>
          <val>
            <numRef>
              <f>'SWF_BUILD'!$W$9</f>
            </numRef>
          </val>
        </ser>
        <axId val="10"/>
        <axId val="100"/>
      </area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mmUSD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DSC Ratio Y0-Y20 (≥1.3 requerido)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'DEBT_SERVICE_COVERAGE'!$C$14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'DEBT_SERVICE_COVERAGE'!$D$14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'DEBT_SERVICE_COVERAGE'!$E$14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'DEBT_SERVICE_COVERAGE'!$F$14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'DEBT_SERVICE_COVERAGE'!$G$14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'DEBT_SERVICE_COVERAGE'!$H$14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'DEBT_SERVICE_COVERAGE'!$I$14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'DEBT_SERVICE_COVERAGE'!$J$14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'DEBT_SERVICE_COVERAGE'!$K$14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'DEBT_SERVICE_COVERAGE'!$L$14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'DEBT_SERVICE_COVERAGE'!$M$14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'DEBT_SERVICE_COVERAGE'!$N$14</f>
            </numRef>
          </val>
        </ser>
        <ser>
          <idx val="12"/>
          <order val="1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'DEBT_SERVICE_COVERAGE'!$O$14</f>
            </numRef>
          </val>
        </ser>
        <ser>
          <idx val="13"/>
          <order val="1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'DEBT_SERVICE_COVERAGE'!$P$14</f>
            </numRef>
          </val>
        </ser>
        <ser>
          <idx val="14"/>
          <order val="1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'DEBT_SERVICE_COVERAGE'!$Q$14</f>
            </numRef>
          </val>
        </ser>
        <ser>
          <idx val="15"/>
          <order val="1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'DEBT_SERVICE_COVERAGE'!$R$14</f>
            </numRef>
          </val>
        </ser>
        <ser>
          <idx val="16"/>
          <order val="1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'DEBT_SERVICE_COVERAGE'!$S$14</f>
            </numRef>
          </val>
        </ser>
        <ser>
          <idx val="17"/>
          <order val="1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'DEBT_SERVICE_COVERAGE'!$T$14</f>
            </numRef>
          </val>
        </ser>
        <ser>
          <idx val="18"/>
          <order val="1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'DEBT_SERVICE_COVERAGE'!$U$14</f>
            </numRef>
          </val>
        </ser>
        <ser>
          <idx val="19"/>
          <order val="1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'DEBT_SERVICE_COVERAGE'!$V$14</f>
            </numRef>
          </val>
        </ser>
        <ser>
          <idx val="20"/>
          <order val="2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'DEBT_SERVICE_COVERAGE'!$C$4:$W$4</f>
            </numRef>
          </cat>
          <val>
            <numRef>
              <f>'DEBT_SERVICE_COVERAGE'!$W$14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BVC Market Cap by Sector (Top 10)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'BVC_LISTING_VALUATION'!$B$5:$B$14</f>
            </numRef>
          </cat>
          <val>
            <numRef>
              <f>'BVC_LISTING_VALUATION'!$H$5:$H$14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_rels/drawing5.xml.rels><Relationships xmlns="http://schemas.openxmlformats.org/package/2006/relationships"><Relationship Type="http://schemas.openxmlformats.org/officeDocument/2006/relationships/chart" Target="/xl/charts/chart5.xml" Id="rId1"/></Relationships>
</file>

<file path=xl/drawings/_rels/drawing6.xml.rels><Relationships xmlns="http://schemas.openxmlformats.org/package/2006/relationships"><Relationship Type="http://schemas.openxmlformats.org/officeDocument/2006/relationships/chart" Target="/xl/charts/chart6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15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15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11</col>
      <colOff>0</colOff>
      <row>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1</col>
      <colOff>0</colOff>
      <row>11</row>
      <rowOff>0</rowOff>
    </from>
    <ext cx="79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5.xml><?xml version="1.0" encoding="utf-8"?>
<wsDr xmlns="http://schemas.openxmlformats.org/drawingml/2006/spreadsheetDrawing">
  <oneCellAnchor>
    <from>
      <col>1</col>
      <colOff>0</colOff>
      <row>16</row>
      <rowOff>0</rowOff>
    </from>
    <ext cx="72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6.xml><?xml version="1.0" encoding="utf-8"?>
<wsDr xmlns="http://schemas.openxmlformats.org/drawingml/2006/spreadsheetDrawing">
  <oneCellAnchor>
    <from>
      <col>9</col>
      <colOff>0</colOff>
      <row>4</row>
      <rowOff>0</rowOff>
    </from>
    <ext cx="50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2">
      <c r="B2" s="1" t="inlineStr">
        <is>
          <t>PLAN GÉNESIS — MASTER FINANCIAL MODEL</t>
        </is>
      </c>
    </row>
    <row r="3"/>
    <row r="5">
      <c r="B5" s="2" t="inlineStr">
        <is>
          <t>Versión: 1.0 — generado 2026-05-10</t>
        </is>
      </c>
    </row>
    <row r="6">
      <c r="B6" s="2" t="inlineStr">
        <is>
          <t>Workbook integral con 12 hojas + 5 charts + fórmulas activas</t>
        </is>
      </c>
    </row>
    <row r="8">
      <c r="B8" s="3" t="inlineStr">
        <is>
          <t>Hojas en este workbook:</t>
        </is>
      </c>
    </row>
    <row r="9">
      <c r="B9" s="4" t="inlineStr">
        <is>
          <t>1. ASSUMPTIONS — inputs editables (celdas amarillas) — 16 named ranges</t>
        </is>
      </c>
    </row>
    <row r="10">
      <c r="B10" s="4" t="inlineStr">
        <is>
          <t>2. OIL_REVENUE_MODEL — proyección 10 años revenue petrolera</t>
        </is>
      </c>
    </row>
    <row r="11">
      <c r="B11" s="4" t="inlineStr">
        <is>
          <t>3. MINING_REVENUE_MODEL — 7 commodities con government take</t>
        </is>
      </c>
    </row>
    <row r="12">
      <c r="B12" s="4" t="inlineStr">
        <is>
          <t>4. PRIVATIZATION_PROGRAM — 40 IPOs con 3 escenarios bear/base/bull</t>
        </is>
      </c>
    </row>
    <row r="13">
      <c r="B13" s="4" t="inlineStr">
        <is>
          <t>5. SWF_BUILD — FSI Y0-Y20 modelo Norges (6.5% real return)</t>
        </is>
      </c>
    </row>
    <row r="14">
      <c r="B14" s="4" t="inlineStr">
        <is>
          <t>6. BOND_EXCHANGE — canje $87.25B → recovery 56¢ → NPV</t>
        </is>
      </c>
    </row>
    <row r="15">
      <c r="B15" s="4" t="inlineStr">
        <is>
          <t>7. DEBT_SERVICE_COVERAGE — DSC ratio Y0-Y20 (≥1.3 requerido)</t>
        </is>
      </c>
    </row>
    <row r="16">
      <c r="B16" s="4" t="inlineStr">
        <is>
          <t>8. BVC_LISTING_VALUATION — 47 IPOs en BVC Y3</t>
        </is>
      </c>
    </row>
    <row r="17">
      <c r="B17" s="4" t="inlineStr">
        <is>
          <t>9. SENSITIVITY_OIL_PRICE — 2D table precio × producción</t>
        </is>
      </c>
    </row>
    <row r="18">
      <c r="B18" s="4" t="inlineStr">
        <is>
          <t>10. SENSITIVITY_RECOVERY — 2D table recovery × WACC</t>
        </is>
      </c>
    </row>
    <row r="19">
      <c r="B19" s="4" t="inlineStr">
        <is>
          <t>11. SCENARIO_DASHBOARD — 15 KPIs bear/base/bull</t>
        </is>
      </c>
    </row>
    <row r="20">
      <c r="B20" s="4" t="inlineStr">
        <is>
          <t>12. LAW_REFORM_TIMELINE — 49 leyes critical path</t>
        </is>
      </c>
    </row>
    <row r="23">
      <c r="B23" s="3" t="inlineStr">
        <is>
          <t>CÓMO USAR ESTE MODELO</t>
        </is>
      </c>
    </row>
    <row r="24">
      <c r="B24" s="2" t="inlineStr">
        <is>
          <t>1. Ir a ASSUMPTIONS y modificar las celdas amarillas (inputs editables).</t>
        </is>
      </c>
    </row>
    <row r="25">
      <c r="B25" s="2" t="inlineStr">
        <is>
          <t>2. Todas las hojas downstream recalcularán automáticamente.</t>
        </is>
      </c>
    </row>
    <row r="26">
      <c r="B26" s="2" t="inlineStr">
        <is>
          <t>3. Las hojas SENSITIVITY_* son tablas 2D que cruzan dos variables.</t>
        </is>
      </c>
    </row>
    <row r="27">
      <c r="B27" s="2" t="inlineStr">
        <is>
          <t>4. SCENARIO_DASHBOARD compara automáticamente Bear / Base / Bull.</t>
        </is>
      </c>
    </row>
    <row r="28">
      <c r="B28" s="2" t="inlineStr">
        <is>
          <t>5. Disclaimer: modelo presentacional, no consejo financiero.</t>
        </is>
      </c>
    </row>
  </sheetData>
  <mergeCells count="1">
    <mergeCell ref="B2:B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B2:I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2">
      <c r="B2" s="6" t="inlineStr">
        <is>
          <t>SENSITIVITY — Government Oil Revenue Y5 (mmUSD): Price × Production</t>
        </is>
      </c>
    </row>
    <row r="4">
      <c r="B4" s="16" t="inlineStr">
        <is>
          <t>Producción Y10 \ Precio</t>
        </is>
      </c>
      <c r="C4" s="33" t="n">
        <v>40</v>
      </c>
      <c r="D4" s="33" t="n">
        <v>50</v>
      </c>
      <c r="E4" s="33" t="n">
        <v>60</v>
      </c>
      <c r="F4" s="33" t="n">
        <v>70</v>
      </c>
      <c r="G4" s="33" t="n">
        <v>80</v>
      </c>
      <c r="H4" s="33" t="n">
        <v>100</v>
      </c>
      <c r="I4" s="33" t="n">
        <v>120</v>
      </c>
    </row>
    <row r="5">
      <c r="B5" s="34" t="n">
        <v>1500</v>
      </c>
      <c r="C5" s="19">
        <f>(850+(B5-850)/2)*40*365*royalty_oil/1000</f>
        <v/>
      </c>
      <c r="D5" s="19">
        <f>(850+(B5-850)/2)*50*365*royalty_oil/1000</f>
        <v/>
      </c>
      <c r="E5" s="19">
        <f>(850+(B5-850)/2)*60*365*royalty_oil/1000</f>
        <v/>
      </c>
      <c r="F5" s="19">
        <f>(850+(B5-850)/2)*70*365*royalty_oil/1000</f>
        <v/>
      </c>
      <c r="G5" s="19">
        <f>(850+(B5-850)/2)*80*365*royalty_oil/1000</f>
        <v/>
      </c>
      <c r="H5" s="19">
        <f>(850+(B5-850)/2)*100*365*royalty_oil/1000</f>
        <v/>
      </c>
      <c r="I5" s="19">
        <f>(850+(B5-850)/2)*120*365*royalty_oil/1000</f>
        <v/>
      </c>
    </row>
    <row r="6">
      <c r="B6" s="34" t="n">
        <v>2000</v>
      </c>
      <c r="C6" s="19">
        <f>(850+(B6-850)/2)*40*365*royalty_oil/1000</f>
        <v/>
      </c>
      <c r="D6" s="19">
        <f>(850+(B6-850)/2)*50*365*royalty_oil/1000</f>
        <v/>
      </c>
      <c r="E6" s="19">
        <f>(850+(B6-850)/2)*60*365*royalty_oil/1000</f>
        <v/>
      </c>
      <c r="F6" s="19">
        <f>(850+(B6-850)/2)*70*365*royalty_oil/1000</f>
        <v/>
      </c>
      <c r="G6" s="19">
        <f>(850+(B6-850)/2)*80*365*royalty_oil/1000</f>
        <v/>
      </c>
      <c r="H6" s="19">
        <f>(850+(B6-850)/2)*100*365*royalty_oil/1000</f>
        <v/>
      </c>
      <c r="I6" s="19">
        <f>(850+(B6-850)/2)*120*365*royalty_oil/1000</f>
        <v/>
      </c>
    </row>
    <row r="7">
      <c r="B7" s="34" t="n">
        <v>2500</v>
      </c>
      <c r="C7" s="19">
        <f>(850+(B7-850)/2)*40*365*royalty_oil/1000</f>
        <v/>
      </c>
      <c r="D7" s="19">
        <f>(850+(B7-850)/2)*50*365*royalty_oil/1000</f>
        <v/>
      </c>
      <c r="E7" s="19">
        <f>(850+(B7-850)/2)*60*365*royalty_oil/1000</f>
        <v/>
      </c>
      <c r="F7" s="19">
        <f>(850+(B7-850)/2)*70*365*royalty_oil/1000</f>
        <v/>
      </c>
      <c r="G7" s="19">
        <f>(850+(B7-850)/2)*80*365*royalty_oil/1000</f>
        <v/>
      </c>
      <c r="H7" s="19">
        <f>(850+(B7-850)/2)*100*365*royalty_oil/1000</f>
        <v/>
      </c>
      <c r="I7" s="19">
        <f>(850+(B7-850)/2)*120*365*royalty_oil/1000</f>
        <v/>
      </c>
    </row>
    <row r="8">
      <c r="B8" s="34" t="n">
        <v>3000</v>
      </c>
      <c r="C8" s="19">
        <f>(850+(B8-850)/2)*40*365*royalty_oil/1000</f>
        <v/>
      </c>
      <c r="D8" s="19">
        <f>(850+(B8-850)/2)*50*365*royalty_oil/1000</f>
        <v/>
      </c>
      <c r="E8" s="19">
        <f>(850+(B8-850)/2)*60*365*royalty_oil/1000</f>
        <v/>
      </c>
      <c r="F8" s="19">
        <f>(850+(B8-850)/2)*70*365*royalty_oil/1000</f>
        <v/>
      </c>
      <c r="G8" s="19">
        <f>(850+(B8-850)/2)*80*365*royalty_oil/1000</f>
        <v/>
      </c>
      <c r="H8" s="19">
        <f>(850+(B8-850)/2)*100*365*royalty_oil/1000</f>
        <v/>
      </c>
      <c r="I8" s="19">
        <f>(850+(B8-850)/2)*120*365*royalty_oil/1000</f>
        <v/>
      </c>
    </row>
    <row r="9">
      <c r="B9" s="34" t="n">
        <v>3500</v>
      </c>
      <c r="C9" s="19">
        <f>(850+(B9-850)/2)*40*365*royalty_oil/1000</f>
        <v/>
      </c>
      <c r="D9" s="19">
        <f>(850+(B9-850)/2)*50*365*royalty_oil/1000</f>
        <v/>
      </c>
      <c r="E9" s="19">
        <f>(850+(B9-850)/2)*60*365*royalty_oil/1000</f>
        <v/>
      </c>
      <c r="F9" s="19">
        <f>(850+(B9-850)/2)*70*365*royalty_oil/1000</f>
        <v/>
      </c>
      <c r="G9" s="19">
        <f>(850+(B9-850)/2)*80*365*royalty_oil/1000</f>
        <v/>
      </c>
      <c r="H9" s="19">
        <f>(850+(B9-850)/2)*100*365*royalty_oil/1000</f>
        <v/>
      </c>
      <c r="I9" s="19">
        <f>(850+(B9-850)/2)*120*365*royalty_oil/1000</f>
        <v/>
      </c>
    </row>
    <row r="12">
      <c r="B12" s="16" t="inlineStr">
        <is>
          <t>IRR Investor proxy (price × prod)</t>
        </is>
      </c>
    </row>
    <row r="13">
      <c r="B13" s="16" t="inlineStr">
        <is>
          <t>Prod Y10 \ Price</t>
        </is>
      </c>
      <c r="C13" s="33" t="n">
        <v>40</v>
      </c>
      <c r="D13" s="33" t="n">
        <v>50</v>
      </c>
      <c r="E13" s="33" t="n">
        <v>60</v>
      </c>
      <c r="F13" s="33" t="n">
        <v>70</v>
      </c>
      <c r="G13" s="33" t="n">
        <v>80</v>
      </c>
      <c r="H13" s="33" t="n">
        <v>100</v>
      </c>
      <c r="I13" s="33" t="n">
        <v>120</v>
      </c>
    </row>
    <row r="14">
      <c r="B14" s="35" t="n">
        <v>1500</v>
      </c>
      <c r="C14" s="28">
        <f>(40*B14*365*0.4/1000)/50000</f>
        <v/>
      </c>
      <c r="D14" s="28">
        <f>(50*B14*365*0.4/1000)/50000</f>
        <v/>
      </c>
      <c r="E14" s="28">
        <f>(60*B14*365*0.4/1000)/50000</f>
        <v/>
      </c>
      <c r="F14" s="28">
        <f>(70*B14*365*0.4/1000)/50000</f>
        <v/>
      </c>
      <c r="G14" s="28">
        <f>(80*B14*365*0.4/1000)/50000</f>
        <v/>
      </c>
      <c r="H14" s="28">
        <f>(100*B14*365*0.4/1000)/50000</f>
        <v/>
      </c>
      <c r="I14" s="28">
        <f>(120*B14*365*0.4/1000)/50000</f>
        <v/>
      </c>
    </row>
    <row r="15">
      <c r="B15" s="35" t="n">
        <v>2000</v>
      </c>
      <c r="C15" s="28">
        <f>(40*B15*365*0.4/1000)/50000</f>
        <v/>
      </c>
      <c r="D15" s="28">
        <f>(50*B15*365*0.4/1000)/50000</f>
        <v/>
      </c>
      <c r="E15" s="28">
        <f>(60*B15*365*0.4/1000)/50000</f>
        <v/>
      </c>
      <c r="F15" s="28">
        <f>(70*B15*365*0.4/1000)/50000</f>
        <v/>
      </c>
      <c r="G15" s="28">
        <f>(80*B15*365*0.4/1000)/50000</f>
        <v/>
      </c>
      <c r="H15" s="28">
        <f>(100*B15*365*0.4/1000)/50000</f>
        <v/>
      </c>
      <c r="I15" s="28">
        <f>(120*B15*365*0.4/1000)/50000</f>
        <v/>
      </c>
    </row>
    <row r="16">
      <c r="B16" s="35" t="n">
        <v>2500</v>
      </c>
      <c r="C16" s="28">
        <f>(40*B16*365*0.4/1000)/50000</f>
        <v/>
      </c>
      <c r="D16" s="28">
        <f>(50*B16*365*0.4/1000)/50000</f>
        <v/>
      </c>
      <c r="E16" s="28">
        <f>(60*B16*365*0.4/1000)/50000</f>
        <v/>
      </c>
      <c r="F16" s="28">
        <f>(70*B16*365*0.4/1000)/50000</f>
        <v/>
      </c>
      <c r="G16" s="28">
        <f>(80*B16*365*0.4/1000)/50000</f>
        <v/>
      </c>
      <c r="H16" s="28">
        <f>(100*B16*365*0.4/1000)/50000</f>
        <v/>
      </c>
      <c r="I16" s="28">
        <f>(120*B16*365*0.4/1000)/50000</f>
        <v/>
      </c>
    </row>
    <row r="17">
      <c r="B17" s="35" t="n">
        <v>3000</v>
      </c>
      <c r="C17" s="28">
        <f>(40*B17*365*0.4/1000)/50000</f>
        <v/>
      </c>
      <c r="D17" s="28">
        <f>(50*B17*365*0.4/1000)/50000</f>
        <v/>
      </c>
      <c r="E17" s="28">
        <f>(60*B17*365*0.4/1000)/50000</f>
        <v/>
      </c>
      <c r="F17" s="28">
        <f>(70*B17*365*0.4/1000)/50000</f>
        <v/>
      </c>
      <c r="G17" s="28">
        <f>(80*B17*365*0.4/1000)/50000</f>
        <v/>
      </c>
      <c r="H17" s="28">
        <f>(100*B17*365*0.4/1000)/50000</f>
        <v/>
      </c>
      <c r="I17" s="28">
        <f>(120*B17*365*0.4/1000)/50000</f>
        <v/>
      </c>
    </row>
    <row r="18">
      <c r="B18" s="35" t="n">
        <v>3500</v>
      </c>
      <c r="C18" s="28">
        <f>(40*B18*365*0.4/1000)/50000</f>
        <v/>
      </c>
      <c r="D18" s="28">
        <f>(50*B18*365*0.4/1000)/50000</f>
        <v/>
      </c>
      <c r="E18" s="28">
        <f>(60*B18*365*0.4/1000)/50000</f>
        <v/>
      </c>
      <c r="F18" s="28">
        <f>(70*B18*365*0.4/1000)/50000</f>
        <v/>
      </c>
      <c r="G18" s="28">
        <f>(80*B18*365*0.4/1000)/50000</f>
        <v/>
      </c>
      <c r="H18" s="28">
        <f>(100*B18*365*0.4/1000)/50000</f>
        <v/>
      </c>
      <c r="I18" s="28">
        <f>(120*B18*365*0.4/1000)/50000</f>
        <v/>
      </c>
    </row>
  </sheetData>
  <mergeCells count="1">
    <mergeCell ref="B2:I2"/>
  </mergeCells>
  <conditionalFormatting sqref="C5:I9">
    <cfRule type="colorScale" priority="1">
      <colorScale>
        <cfvo type="min"/>
        <cfvo type="percentile" val="50"/>
        <cfvo type="max"/>
        <color rgb="00FFCDD2"/>
        <color rgb="00FFF59D"/>
        <color rgb="00C8E6C9"/>
      </colorScale>
    </cfRule>
  </conditionalFormatting>
  <conditionalFormatting sqref="C14:I18">
    <cfRule type="colorScale" priority="2">
      <colorScale>
        <cfvo type="min"/>
        <cfvo type="percentile" val="50"/>
        <cfvo type="max"/>
        <color rgb="00FFCDD2"/>
        <color rgb="00FFF59D"/>
        <color rgb="00C8E6C9"/>
      </colorScale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B2:H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>
      <c r="B2" s="6" t="inlineStr">
        <is>
          <t>SENSITIVITY — Bond NPV (mmUSD): Recovery × WACC</t>
        </is>
      </c>
    </row>
    <row r="4">
      <c r="B4" s="16" t="inlineStr">
        <is>
          <t>Recovery \ WACC</t>
        </is>
      </c>
      <c r="C4" s="36" t="n">
        <v>0.06</v>
      </c>
      <c r="D4" s="36" t="n">
        <v>0.08</v>
      </c>
      <c r="E4" s="36" t="n">
        <v>0.09</v>
      </c>
      <c r="F4" s="36" t="n">
        <v>0.1</v>
      </c>
      <c r="G4" s="36" t="n">
        <v>0.12</v>
      </c>
    </row>
    <row r="5">
      <c r="B5" s="37" t="n">
        <v>0.4</v>
      </c>
      <c r="C5" s="19">
        <f>(87250*B5*new_coupon)*((1-(1+0.06)^-new_tenor)/0.06)+(87250*B5)/((1+0.06)^new_tenor)</f>
        <v/>
      </c>
      <c r="D5" s="19">
        <f>(87250*B5*new_coupon)*((1-(1+0.08)^-new_tenor)/0.08)+(87250*B5)/((1+0.08)^new_tenor)</f>
        <v/>
      </c>
      <c r="E5" s="19">
        <f>(87250*B5*new_coupon)*((1-(1+0.09)^-new_tenor)/0.09)+(87250*B5)/((1+0.09)^new_tenor)</f>
        <v/>
      </c>
      <c r="F5" s="19">
        <f>(87250*B5*new_coupon)*((1-(1+0.1)^-new_tenor)/0.1)+(87250*B5)/((1+0.1)^new_tenor)</f>
        <v/>
      </c>
      <c r="G5" s="19">
        <f>(87250*B5*new_coupon)*((1-(1+0.12)^-new_tenor)/0.12)+(87250*B5)/((1+0.12)^new_tenor)</f>
        <v/>
      </c>
    </row>
    <row r="6">
      <c r="B6" s="37" t="n">
        <v>0.5</v>
      </c>
      <c r="C6" s="19">
        <f>(87250*B6*new_coupon)*((1-(1+0.06)^-new_tenor)/0.06)+(87250*B6)/((1+0.06)^new_tenor)</f>
        <v/>
      </c>
      <c r="D6" s="19">
        <f>(87250*B6*new_coupon)*((1-(1+0.08)^-new_tenor)/0.08)+(87250*B6)/((1+0.08)^new_tenor)</f>
        <v/>
      </c>
      <c r="E6" s="19">
        <f>(87250*B6*new_coupon)*((1-(1+0.09)^-new_tenor)/0.09)+(87250*B6)/((1+0.09)^new_tenor)</f>
        <v/>
      </c>
      <c r="F6" s="19">
        <f>(87250*B6*new_coupon)*((1-(1+0.1)^-new_tenor)/0.1)+(87250*B6)/((1+0.1)^new_tenor)</f>
        <v/>
      </c>
      <c r="G6" s="19">
        <f>(87250*B6*new_coupon)*((1-(1+0.12)^-new_tenor)/0.12)+(87250*B6)/((1+0.12)^new_tenor)</f>
        <v/>
      </c>
    </row>
    <row r="7">
      <c r="B7" s="37" t="n">
        <v>0.5600000000000001</v>
      </c>
      <c r="C7" s="19">
        <f>(87250*B7*new_coupon)*((1-(1+0.06)^-new_tenor)/0.06)+(87250*B7)/((1+0.06)^new_tenor)</f>
        <v/>
      </c>
      <c r="D7" s="19">
        <f>(87250*B7*new_coupon)*((1-(1+0.08)^-new_tenor)/0.08)+(87250*B7)/((1+0.08)^new_tenor)</f>
        <v/>
      </c>
      <c r="E7" s="19">
        <f>(87250*B7*new_coupon)*((1-(1+0.09)^-new_tenor)/0.09)+(87250*B7)/((1+0.09)^new_tenor)</f>
        <v/>
      </c>
      <c r="F7" s="19">
        <f>(87250*B7*new_coupon)*((1-(1+0.1)^-new_tenor)/0.1)+(87250*B7)/((1+0.1)^new_tenor)</f>
        <v/>
      </c>
      <c r="G7" s="19">
        <f>(87250*B7*new_coupon)*((1-(1+0.12)^-new_tenor)/0.12)+(87250*B7)/((1+0.12)^new_tenor)</f>
        <v/>
      </c>
    </row>
    <row r="8">
      <c r="B8" s="37" t="n">
        <v>0.6</v>
      </c>
      <c r="C8" s="19">
        <f>(87250*B8*new_coupon)*((1-(1+0.06)^-new_tenor)/0.06)+(87250*B8)/((1+0.06)^new_tenor)</f>
        <v/>
      </c>
      <c r="D8" s="19">
        <f>(87250*B8*new_coupon)*((1-(1+0.08)^-new_tenor)/0.08)+(87250*B8)/((1+0.08)^new_tenor)</f>
        <v/>
      </c>
      <c r="E8" s="19">
        <f>(87250*B8*new_coupon)*((1-(1+0.09)^-new_tenor)/0.09)+(87250*B8)/((1+0.09)^new_tenor)</f>
        <v/>
      </c>
      <c r="F8" s="19">
        <f>(87250*B8*new_coupon)*((1-(1+0.1)^-new_tenor)/0.1)+(87250*B8)/((1+0.1)^new_tenor)</f>
        <v/>
      </c>
      <c r="G8" s="19">
        <f>(87250*B8*new_coupon)*((1-(1+0.12)^-new_tenor)/0.12)+(87250*B8)/((1+0.12)^new_tenor)</f>
        <v/>
      </c>
    </row>
    <row r="9">
      <c r="B9" s="37" t="n">
        <v>0.7</v>
      </c>
      <c r="C9" s="19">
        <f>(87250*B9*new_coupon)*((1-(1+0.06)^-new_tenor)/0.06)+(87250*B9)/((1+0.06)^new_tenor)</f>
        <v/>
      </c>
      <c r="D9" s="19">
        <f>(87250*B9*new_coupon)*((1-(1+0.08)^-new_tenor)/0.08)+(87250*B9)/((1+0.08)^new_tenor)</f>
        <v/>
      </c>
      <c r="E9" s="19">
        <f>(87250*B9*new_coupon)*((1-(1+0.09)^-new_tenor)/0.09)+(87250*B9)/((1+0.09)^new_tenor)</f>
        <v/>
      </c>
      <c r="F9" s="19">
        <f>(87250*B9*new_coupon)*((1-(1+0.1)^-new_tenor)/0.1)+(87250*B9)/((1+0.1)^new_tenor)</f>
        <v/>
      </c>
      <c r="G9" s="19">
        <f>(87250*B9*new_coupon)*((1-(1+0.12)^-new_tenor)/0.12)+(87250*B9)/((1+0.12)^new_tenor)</f>
        <v/>
      </c>
    </row>
    <row r="12">
      <c r="B12" s="16" t="inlineStr">
        <is>
          <t>Bond Price (cents) — Recovery × WACC</t>
        </is>
      </c>
    </row>
    <row r="13">
      <c r="B13" s="16" t="inlineStr">
        <is>
          <t>Recovery \ WACC</t>
        </is>
      </c>
      <c r="C13" s="36" t="n">
        <v>0.06</v>
      </c>
      <c r="D13" s="36" t="n">
        <v>0.08</v>
      </c>
      <c r="E13" s="36" t="n">
        <v>0.09</v>
      </c>
      <c r="F13" s="36" t="n">
        <v>0.1</v>
      </c>
      <c r="G13" s="36" t="n">
        <v>0.12</v>
      </c>
    </row>
    <row r="14">
      <c r="B14" s="37" t="n">
        <v>0.4</v>
      </c>
      <c r="C14" s="38">
        <f>((87250*B14*new_coupon)*((1-(1+0.06)^-new_tenor)/0.06)+(87250*B14)/((1+0.06)^new_tenor))/87250*100</f>
        <v/>
      </c>
      <c r="D14" s="38">
        <f>((87250*B14*new_coupon)*((1-(1+0.08)^-new_tenor)/0.08)+(87250*B14)/((1+0.08)^new_tenor))/87250*100</f>
        <v/>
      </c>
      <c r="E14" s="38">
        <f>((87250*B14*new_coupon)*((1-(1+0.09)^-new_tenor)/0.09)+(87250*B14)/((1+0.09)^new_tenor))/87250*100</f>
        <v/>
      </c>
      <c r="F14" s="38">
        <f>((87250*B14*new_coupon)*((1-(1+0.1)^-new_tenor)/0.1)+(87250*B14)/((1+0.1)^new_tenor))/87250*100</f>
        <v/>
      </c>
      <c r="G14" s="38">
        <f>((87250*B14*new_coupon)*((1-(1+0.12)^-new_tenor)/0.12)+(87250*B14)/((1+0.12)^new_tenor))/87250*100</f>
        <v/>
      </c>
    </row>
    <row r="15">
      <c r="B15" s="37" t="n">
        <v>0.5</v>
      </c>
      <c r="C15" s="38">
        <f>((87250*B15*new_coupon)*((1-(1+0.06)^-new_tenor)/0.06)+(87250*B15)/((1+0.06)^new_tenor))/87250*100</f>
        <v/>
      </c>
      <c r="D15" s="38">
        <f>((87250*B15*new_coupon)*((1-(1+0.08)^-new_tenor)/0.08)+(87250*B15)/((1+0.08)^new_tenor))/87250*100</f>
        <v/>
      </c>
      <c r="E15" s="38">
        <f>((87250*B15*new_coupon)*((1-(1+0.09)^-new_tenor)/0.09)+(87250*B15)/((1+0.09)^new_tenor))/87250*100</f>
        <v/>
      </c>
      <c r="F15" s="38">
        <f>((87250*B15*new_coupon)*((1-(1+0.1)^-new_tenor)/0.1)+(87250*B15)/((1+0.1)^new_tenor))/87250*100</f>
        <v/>
      </c>
      <c r="G15" s="38">
        <f>((87250*B15*new_coupon)*((1-(1+0.12)^-new_tenor)/0.12)+(87250*B15)/((1+0.12)^new_tenor))/87250*100</f>
        <v/>
      </c>
    </row>
    <row r="16">
      <c r="B16" s="37" t="n">
        <v>0.5600000000000001</v>
      </c>
      <c r="C16" s="38">
        <f>((87250*B16*new_coupon)*((1-(1+0.06)^-new_tenor)/0.06)+(87250*B16)/((1+0.06)^new_tenor))/87250*100</f>
        <v/>
      </c>
      <c r="D16" s="38">
        <f>((87250*B16*new_coupon)*((1-(1+0.08)^-new_tenor)/0.08)+(87250*B16)/((1+0.08)^new_tenor))/87250*100</f>
        <v/>
      </c>
      <c r="E16" s="38">
        <f>((87250*B16*new_coupon)*((1-(1+0.09)^-new_tenor)/0.09)+(87250*B16)/((1+0.09)^new_tenor))/87250*100</f>
        <v/>
      </c>
      <c r="F16" s="38">
        <f>((87250*B16*new_coupon)*((1-(1+0.1)^-new_tenor)/0.1)+(87250*B16)/((1+0.1)^new_tenor))/87250*100</f>
        <v/>
      </c>
      <c r="G16" s="38">
        <f>((87250*B16*new_coupon)*((1-(1+0.12)^-new_tenor)/0.12)+(87250*B16)/((1+0.12)^new_tenor))/87250*100</f>
        <v/>
      </c>
    </row>
    <row r="17">
      <c r="B17" s="37" t="n">
        <v>0.6</v>
      </c>
      <c r="C17" s="38">
        <f>((87250*B17*new_coupon)*((1-(1+0.06)^-new_tenor)/0.06)+(87250*B17)/((1+0.06)^new_tenor))/87250*100</f>
        <v/>
      </c>
      <c r="D17" s="38">
        <f>((87250*B17*new_coupon)*((1-(1+0.08)^-new_tenor)/0.08)+(87250*B17)/((1+0.08)^new_tenor))/87250*100</f>
        <v/>
      </c>
      <c r="E17" s="38">
        <f>((87250*B17*new_coupon)*((1-(1+0.09)^-new_tenor)/0.09)+(87250*B17)/((1+0.09)^new_tenor))/87250*100</f>
        <v/>
      </c>
      <c r="F17" s="38">
        <f>((87250*B17*new_coupon)*((1-(1+0.1)^-new_tenor)/0.1)+(87250*B17)/((1+0.1)^new_tenor))/87250*100</f>
        <v/>
      </c>
      <c r="G17" s="38">
        <f>((87250*B17*new_coupon)*((1-(1+0.12)^-new_tenor)/0.12)+(87250*B17)/((1+0.12)^new_tenor))/87250*100</f>
        <v/>
      </c>
    </row>
    <row r="18">
      <c r="B18" s="37" t="n">
        <v>0.7</v>
      </c>
      <c r="C18" s="38">
        <f>((87250*B18*new_coupon)*((1-(1+0.06)^-new_tenor)/0.06)+(87250*B18)/((1+0.06)^new_tenor))/87250*100</f>
        <v/>
      </c>
      <c r="D18" s="38">
        <f>((87250*B18*new_coupon)*((1-(1+0.08)^-new_tenor)/0.08)+(87250*B18)/((1+0.08)^new_tenor))/87250*100</f>
        <v/>
      </c>
      <c r="E18" s="38">
        <f>((87250*B18*new_coupon)*((1-(1+0.09)^-new_tenor)/0.09)+(87250*B18)/((1+0.09)^new_tenor))/87250*100</f>
        <v/>
      </c>
      <c r="F18" s="38">
        <f>((87250*B18*new_coupon)*((1-(1+0.1)^-new_tenor)/0.1)+(87250*B18)/((1+0.1)^new_tenor))/87250*100</f>
        <v/>
      </c>
      <c r="G18" s="38">
        <f>((87250*B18*new_coupon)*((1-(1+0.12)^-new_tenor)/0.12)+(87250*B18)/((1+0.12)^new_tenor))/87250*100</f>
        <v/>
      </c>
    </row>
  </sheetData>
  <mergeCells count="1">
    <mergeCell ref="B2:H2"/>
  </mergeCells>
  <conditionalFormatting sqref="C5:G9">
    <cfRule type="colorScale" priority="1">
      <colorScale>
        <cfvo type="min"/>
        <cfvo type="percentile" val="50"/>
        <cfvo type="max"/>
        <color rgb="00FFCDD2"/>
        <color rgb="00FFF59D"/>
        <color rgb="00C8E6C9"/>
      </colorScale>
    </cfRule>
  </conditionalFormatting>
  <conditionalFormatting sqref="C14:G18">
    <cfRule type="colorScale" priority="2">
      <colorScale>
        <cfvo type="min"/>
        <cfvo type="percentile" val="50"/>
        <cfvo type="max"/>
        <color rgb="00FFCDD2"/>
        <color rgb="00FFF59D"/>
        <color rgb="00C8E6C9"/>
      </colorScale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B2:F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8" customWidth="1" min="3" max="3"/>
    <col width="18" customWidth="1" min="4" max="4"/>
    <col width="18" customWidth="1" min="5" max="5"/>
    <col width="30" customWidth="1" min="6" max="6"/>
  </cols>
  <sheetData>
    <row r="2">
      <c r="B2" s="6" t="inlineStr">
        <is>
          <t>SCENARIO DASHBOARD — Bear / Base / Bull (15 KPIs)</t>
        </is>
      </c>
    </row>
    <row r="4" ht="22" customHeight="1">
      <c r="B4" s="6" t="inlineStr">
        <is>
          <t>KPI</t>
        </is>
      </c>
      <c r="C4" s="6" t="inlineStr">
        <is>
          <t>Bear</t>
        </is>
      </c>
      <c r="D4" s="6" t="inlineStr">
        <is>
          <t>Base</t>
        </is>
      </c>
      <c r="E4" s="6" t="inlineStr">
        <is>
          <t>Bull</t>
        </is>
      </c>
      <c r="F4" s="6" t="inlineStr">
        <is>
          <t>Comentario</t>
        </is>
      </c>
    </row>
    <row r="5">
      <c r="B5" s="7" t="inlineStr">
        <is>
          <t>Patrimonio Soberano Y20 (USD B)</t>
        </is>
      </c>
      <c r="C5" s="39">
        <f>y20_target*(1+scen_bear)/1000</f>
        <v/>
      </c>
      <c r="D5" s="40">
        <f>y20_target/1000</f>
        <v/>
      </c>
      <c r="E5" s="41">
        <f>y20_target*(1+scen_bull)/1000</f>
        <v/>
      </c>
      <c r="F5" s="10" t="inlineStr">
        <is>
          <t>Caso central: $490B</t>
        </is>
      </c>
    </row>
    <row r="6">
      <c r="B6" s="7" t="inlineStr">
        <is>
          <t>FSI AUM Y20 (USD B)</t>
        </is>
      </c>
      <c r="C6" s="39">
        <f>swf_aum_y20*(1+scen_bear)/1000</f>
        <v/>
      </c>
      <c r="D6" s="40">
        <f>swf_aum_y20/1000</f>
        <v/>
      </c>
      <c r="E6" s="41">
        <f>swf_aum_y20*(1+scen_bull)/1000</f>
        <v/>
      </c>
      <c r="F6" s="10" t="inlineStr">
        <is>
          <t>Modelo Norges aplicado</t>
        </is>
      </c>
    </row>
    <row r="7">
      <c r="B7" s="7" t="inlineStr">
        <is>
          <t>Government oil revenue Y10 (USD B)</t>
        </is>
      </c>
      <c r="C7" s="39">
        <f>oil_gov_y10*(1+scen_bear)/1000</f>
        <v/>
      </c>
      <c r="D7" s="40">
        <f>oil_gov_y10/1000</f>
        <v/>
      </c>
      <c r="E7" s="41">
        <f>oil_gov_y10*(1+scen_bull)/1000</f>
        <v/>
      </c>
      <c r="F7" s="10" t="inlineStr">
        <is>
          <t>Royalty 20% × producción</t>
        </is>
      </c>
    </row>
    <row r="8">
      <c r="B8" s="7" t="inlineStr">
        <is>
          <t>Mining gov revenue Y5 (USD B)</t>
        </is>
      </c>
      <c r="C8" s="39">
        <f>mining_gov_y5*(1+scen_bear)/1000</f>
        <v/>
      </c>
      <c r="D8" s="40">
        <f>mining_gov_y5/1000</f>
        <v/>
      </c>
      <c r="E8" s="41">
        <f>mining_gov_y5*(1+scen_bull)/1000</f>
        <v/>
      </c>
      <c r="F8" s="10" t="inlineStr">
        <is>
          <t>Royalty 13% × producción</t>
        </is>
      </c>
    </row>
    <row r="9">
      <c r="B9" s="7" t="inlineStr">
        <is>
          <t>Privatization proceeds total (USD B)</t>
        </is>
      </c>
      <c r="C9" s="39">
        <f>priv_proceeds_bear/1000</f>
        <v/>
      </c>
      <c r="D9" s="40">
        <f>priv_proceeds_base/1000</f>
        <v/>
      </c>
      <c r="E9" s="41">
        <f>priv_proceeds_bull/1000</f>
        <v/>
      </c>
      <c r="F9" s="10" t="inlineStr">
        <is>
          <t>40 IPOs Y1-Y5</t>
        </is>
      </c>
    </row>
    <row r="10">
      <c r="B10" s="7" t="inlineStr">
        <is>
          <t>BVC Market Cap Y3 (USD B)</t>
        </is>
      </c>
      <c r="C10" s="39">
        <f>bvc_market_cap_y3*(1+scen_bear)/1000</f>
        <v/>
      </c>
      <c r="D10" s="40">
        <f>bvc_market_cap_y3/1000</f>
        <v/>
      </c>
      <c r="E10" s="41">
        <f>bvc_market_cap_y3*(1+scen_bull)/1000</f>
        <v/>
      </c>
      <c r="F10" s="10" t="inlineStr">
        <is>
          <t>47 listings</t>
        </is>
      </c>
    </row>
    <row r="11">
      <c r="B11" s="7" t="inlineStr">
        <is>
          <t>Bond NPV @ WACC (USD B)</t>
        </is>
      </c>
      <c r="C11" s="39">
        <f>bond_npv*0.8/1000</f>
        <v/>
      </c>
      <c r="D11" s="40">
        <f>bond_npv/1000</f>
        <v/>
      </c>
      <c r="E11" s="41">
        <f>bond_npv*1.15/1000</f>
        <v/>
      </c>
      <c r="F11" s="10" t="inlineStr">
        <is>
          <t>Recovery 56% blended</t>
        </is>
      </c>
    </row>
    <row r="12">
      <c r="B12" s="7" t="inlineStr">
        <is>
          <t>Bond Price (cents)</t>
        </is>
      </c>
      <c r="C12" s="39">
        <f>bond_price_cents*0.85</f>
        <v/>
      </c>
      <c r="D12" s="40">
        <f>bond_price_cents</f>
        <v/>
      </c>
      <c r="E12" s="41">
        <f>bond_price_cents*1.10</f>
        <v/>
      </c>
      <c r="F12" s="10" t="inlineStr">
        <is>
          <t>Implied price</t>
        </is>
      </c>
    </row>
    <row r="13">
      <c r="B13" s="7" t="inlineStr">
        <is>
          <t>DSC Ratio Y5</t>
        </is>
      </c>
      <c r="C13" s="42">
        <f>DEBT_SERVICE_COVERAGE!H14*(1+scen_bear)</f>
        <v/>
      </c>
      <c r="D13" s="43">
        <f>DEBT_SERVICE_COVERAGE!H14</f>
        <v/>
      </c>
      <c r="E13" s="44">
        <f>DEBT_SERVICE_COVERAGE!H14*(1+scen_bull*0.5)</f>
        <v/>
      </c>
      <c r="F13" s="10" t="inlineStr">
        <is>
          <t>Mínimo 1.3 requerido</t>
        </is>
      </c>
    </row>
    <row r="14">
      <c r="B14" s="7" t="inlineStr">
        <is>
          <t>Investor IRR (Plan)</t>
        </is>
      </c>
      <c r="C14" s="45">
        <f>0.18+scen_bear</f>
        <v/>
      </c>
      <c r="D14" s="46">
        <f>0.22</f>
        <v/>
      </c>
      <c r="E14" s="47">
        <f>0.28+scen_bull*0.3</f>
        <v/>
      </c>
      <c r="F14" s="10" t="inlineStr">
        <is>
          <t>Base case 22%</t>
        </is>
      </c>
    </row>
    <row r="15">
      <c r="B15" s="7" t="inlineStr">
        <is>
          <t>Pensión mensual promedio (USD)</t>
        </is>
      </c>
      <c r="C15" s="39">
        <f>200*(1+scen_bear*0.3)</f>
        <v/>
      </c>
      <c r="D15" s="40">
        <f>254</f>
        <v/>
      </c>
      <c r="E15" s="41">
        <f>300*(1+scen_bull*0.2)</f>
        <v/>
      </c>
      <c r="F15" s="10" t="inlineStr">
        <is>
          <t>FCP target Y8</t>
        </is>
      </c>
    </row>
    <row r="16">
      <c r="B16" s="7" t="inlineStr">
        <is>
          <t>Empleo formal Y10 (millones)</t>
        </is>
      </c>
      <c r="C16" s="42">
        <f>8.5*(1+scen_bear*0.3)</f>
        <v/>
      </c>
      <c r="D16" s="43">
        <f>9.8</f>
        <v/>
      </c>
      <c r="E16" s="44">
        <f>11*(1+scen_bull*0.2)</f>
        <v/>
      </c>
      <c r="F16" s="10" t="inlineStr">
        <is>
          <t>CSV 04</t>
        </is>
      </c>
    </row>
    <row r="17">
      <c r="B17" s="7" t="inlineStr">
        <is>
          <t>PIB Y20 (USD B)</t>
        </is>
      </c>
      <c r="C17" s="39">
        <f>350*(1+scen_bear)</f>
        <v/>
      </c>
      <c r="D17" s="40">
        <f>750</f>
        <v/>
      </c>
      <c r="E17" s="41">
        <f>950*(1+scen_bull*0.5)</f>
        <v/>
      </c>
      <c r="F17" s="10" t="inlineStr">
        <is>
          <t>Restauración productiva</t>
        </is>
      </c>
    </row>
    <row r="18">
      <c r="B18" s="7" t="inlineStr">
        <is>
          <t>Calificación crediticia Y10</t>
        </is>
      </c>
      <c r="C18" s="39" t="inlineStr">
        <is>
          <t>BB-</t>
        </is>
      </c>
      <c r="D18" s="40" t="inlineStr">
        <is>
          <t>BBB-</t>
        </is>
      </c>
      <c r="E18" s="41" t="inlineStr">
        <is>
          <t>BBB+</t>
        </is>
      </c>
      <c r="F18" s="10" t="inlineStr">
        <is>
          <t>Trayectoria CSV 09</t>
        </is>
      </c>
    </row>
    <row r="19">
      <c r="B19" s="7" t="inlineStr">
        <is>
          <t>Pago acreedores TIR</t>
        </is>
      </c>
      <c r="C19" s="39">
        <f>0.10+scen_bear*0.3</f>
        <v/>
      </c>
      <c r="D19" s="40">
        <f>0.155</f>
        <v/>
      </c>
      <c r="E19" s="41">
        <f>0.20+scen_bull*0.2</f>
        <v/>
      </c>
      <c r="F19" s="10" t="inlineStr">
        <is>
          <t>Acreedores 15.5% IRR base</t>
        </is>
      </c>
    </row>
  </sheetData>
  <mergeCells count="1">
    <mergeCell ref="B2:F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B2:I5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50" customWidth="1" min="2" max="2"/>
    <col width="16" customWidth="1" min="3" max="3"/>
    <col width="16" customWidth="1" min="4" max="4"/>
    <col width="20" customWidth="1" min="5" max="5"/>
    <col width="14" customWidth="1" min="6" max="6"/>
    <col width="18" customWidth="1" min="7" max="7"/>
    <col width="26" customWidth="1" min="8" max="8"/>
  </cols>
  <sheetData>
    <row r="2">
      <c r="B2" s="6" t="inlineStr">
        <is>
          <t>LAW REFORM TIMELINE — 49 leyes (critical path)</t>
        </is>
      </c>
    </row>
    <row r="4" ht="30" customHeight="1">
      <c r="B4" s="6" t="inlineStr">
        <is>
          <t>#</t>
        </is>
      </c>
      <c r="C4" s="6" t="inlineStr">
        <is>
          <t>Ley</t>
        </is>
      </c>
      <c r="D4" s="6" t="inlineStr">
        <is>
          <t>Categoría</t>
        </is>
      </c>
      <c r="E4" s="6" t="inlineStr">
        <is>
          <t>Prioridad</t>
        </is>
      </c>
      <c r="F4" s="6" t="inlineStr">
        <is>
          <t>Tipo Reforma</t>
        </is>
      </c>
      <c r="G4" s="6" t="inlineStr">
        <is>
          <t>Mes Inicio</t>
        </is>
      </c>
      <c r="H4" s="6" t="inlineStr">
        <is>
          <t>Mes Fin (= Inicio + Duración)</t>
        </is>
      </c>
      <c r="I4" s="6" t="inlineStr">
        <is>
          <t>Status</t>
        </is>
      </c>
    </row>
    <row r="5">
      <c r="B5" s="48" t="n">
        <v>1</v>
      </c>
      <c r="C5" s="7" t="inlineStr">
        <is>
          <t>Constitución de la República Bolivariana de Venezuela</t>
        </is>
      </c>
      <c r="D5" s="10" t="inlineStr">
        <is>
          <t>Constitucional</t>
        </is>
      </c>
      <c r="E5" s="48" t="inlineStr">
        <is>
          <t>🔴 CRÍTICA</t>
        </is>
      </c>
      <c r="F5" s="10" t="inlineStr">
        <is>
          <t>Reforma Constitucional</t>
        </is>
      </c>
      <c r="G5" s="9" t="n">
        <v>0</v>
      </c>
      <c r="H5" s="17">
        <f>G5+15.0</f>
        <v/>
      </c>
      <c r="I5" s="49" t="inlineStr">
        <is>
          <t>🔴 CRITICAL PATH</t>
        </is>
      </c>
    </row>
    <row r="6">
      <c r="B6" s="48" t="n">
        <v>2</v>
      </c>
      <c r="C6" s="7" t="inlineStr">
        <is>
          <t>Ley Orgánica de la Hacienda Pública Nacional</t>
        </is>
      </c>
      <c r="D6" s="10" t="inlineStr">
        <is>
          <t>Orgánica - Marco Económico</t>
        </is>
      </c>
      <c r="E6" s="48" t="inlineStr">
        <is>
          <t>🔴 CRÍTICA</t>
        </is>
      </c>
      <c r="F6" s="10" t="inlineStr">
        <is>
          <t>Reforma integral</t>
        </is>
      </c>
      <c r="G6" s="9" t="n">
        <v>0</v>
      </c>
      <c r="H6" s="17">
        <f>G6+7.5</f>
        <v/>
      </c>
      <c r="I6" s="49" t="inlineStr">
        <is>
          <t>🔴 CRITICAL PATH</t>
        </is>
      </c>
    </row>
    <row r="7">
      <c r="B7" s="48" t="n">
        <v>3</v>
      </c>
      <c r="C7" s="7" t="inlineStr">
        <is>
          <t>Ley Orgánica de Hidrocarburos</t>
        </is>
      </c>
      <c r="D7" s="10" t="inlineStr">
        <is>
          <t>Orgánica - Hidrocarburos</t>
        </is>
      </c>
      <c r="E7" s="48" t="inlineStr">
        <is>
          <t>🔴 CRÍTICA</t>
        </is>
      </c>
      <c r="F7" s="10" t="inlineStr">
        <is>
          <t>Reforma del Art. 22 + 36-53</t>
        </is>
      </c>
      <c r="G7" s="9" t="n">
        <v>0</v>
      </c>
      <c r="H7" s="17">
        <f>G7+7.5</f>
        <v/>
      </c>
      <c r="I7" s="49" t="inlineStr">
        <is>
          <t>🔴 CRITICAL PATH</t>
        </is>
      </c>
    </row>
    <row r="8">
      <c r="B8" s="48" t="n">
        <v>4</v>
      </c>
      <c r="C8" s="7" t="inlineStr">
        <is>
          <t>Ley Orgánica de Hidrocarburos Gaseosos</t>
        </is>
      </c>
      <c r="D8" s="10" t="inlineStr">
        <is>
          <t>Orgánica - Hidrocarburos</t>
        </is>
      </c>
      <c r="E8" s="48" t="inlineStr">
        <is>
          <t>🟡 ALTA</t>
        </is>
      </c>
      <c r="F8" s="10" t="inlineStr">
        <is>
          <t>Reforma armónica</t>
        </is>
      </c>
      <c r="G8" s="9" t="n">
        <v>6</v>
      </c>
      <c r="H8" s="17">
        <f>G8+6</f>
        <v/>
      </c>
      <c r="I8" s="50" t="inlineStr">
        <is>
          <t>🟡 HIGH</t>
        </is>
      </c>
    </row>
    <row r="9">
      <c r="B9" s="48" t="n">
        <v>5</v>
      </c>
      <c r="C9" s="7" t="inlineStr">
        <is>
          <t>**Nueva Ley Orgánica de Minas (Abril 2026)**</t>
        </is>
      </c>
      <c r="D9" s="10" t="inlineStr">
        <is>
          <t>Orgánica - Minería</t>
        </is>
      </c>
      <c r="E9" s="48" t="inlineStr">
        <is>
          <t>✅ COMPLETADO</t>
        </is>
      </c>
      <c r="F9" s="10" t="inlineStr">
        <is>
          <t>**APROBADA — vigente**</t>
        </is>
      </c>
      <c r="G9" s="9" t="n">
        <v>-3</v>
      </c>
      <c r="H9" s="17">
        <f>G9+9</f>
        <v/>
      </c>
      <c r="I9" s="51" t="inlineStr">
        <is>
          <t>✅ DONE</t>
        </is>
      </c>
    </row>
    <row r="10">
      <c r="B10" s="48" t="n">
        <v>6</v>
      </c>
      <c r="C10" s="7" t="inlineStr">
        <is>
          <t>Decreto N° 2.248 — Arco Minero del Orinoco</t>
        </is>
      </c>
      <c r="D10" s="10" t="inlineStr">
        <is>
          <t>Orgánica - Minería</t>
        </is>
      </c>
      <c r="E10" s="48" t="inlineStr">
        <is>
          <t>🔴 CRÍTICA</t>
        </is>
      </c>
      <c r="F10" s="10" t="inlineStr">
        <is>
          <t>Revisión integral con CPLI</t>
        </is>
      </c>
      <c r="G10" s="9" t="n">
        <v>0</v>
      </c>
      <c r="H10" s="17">
        <f>G10+12</f>
        <v/>
      </c>
      <c r="I10" s="49" t="inlineStr">
        <is>
          <t>🔴 CRITICAL PATH</t>
        </is>
      </c>
    </row>
    <row r="11">
      <c r="B11" s="48" t="n">
        <v>7</v>
      </c>
      <c r="C11" s="7" t="inlineStr">
        <is>
          <t>Ley del Banco Central de Venezuela</t>
        </is>
      </c>
      <c r="D11" s="10" t="inlineStr">
        <is>
          <t>Orgánica - Monetaria</t>
        </is>
      </c>
      <c r="E11" s="48" t="inlineStr">
        <is>
          <t>🔴 CRÍTICA</t>
        </is>
      </c>
      <c r="F11" s="10" t="inlineStr">
        <is>
          <t>Reforma integral - autonomía</t>
        </is>
      </c>
      <c r="G11" s="9" t="n">
        <v>0</v>
      </c>
      <c r="H11" s="17">
        <f>G11+6</f>
        <v/>
      </c>
      <c r="I11" s="49" t="inlineStr">
        <is>
          <t>🔴 CRITICAL PATH</t>
        </is>
      </c>
    </row>
    <row r="12">
      <c r="B12" s="48" t="n">
        <v>8</v>
      </c>
      <c r="C12" s="7" t="inlineStr">
        <is>
          <t>Ley del Régimen Cambiario y sus Ilícitos</t>
        </is>
      </c>
      <c r="D12" s="10" t="inlineStr">
        <is>
          <t>Económica</t>
        </is>
      </c>
      <c r="E12" s="48" t="inlineStr">
        <is>
          <t>🔴 CRÍTICA</t>
        </is>
      </c>
      <c r="F12" s="10" t="inlineStr">
        <is>
          <t>Derogación</t>
        </is>
      </c>
      <c r="G12" s="9" t="n">
        <v>0</v>
      </c>
      <c r="H12" s="17">
        <f>G12+3</f>
        <v/>
      </c>
      <c r="I12" s="49" t="inlineStr">
        <is>
          <t>🔴 CRITICAL PATH</t>
        </is>
      </c>
    </row>
    <row r="13">
      <c r="B13" s="48" t="n">
        <v>9</v>
      </c>
      <c r="C13" s="7" t="inlineStr">
        <is>
          <t>Ley Antibloqueo</t>
        </is>
      </c>
      <c r="D13" s="10" t="inlineStr">
        <is>
          <t>Económica</t>
        </is>
      </c>
      <c r="E13" s="48" t="inlineStr">
        <is>
          <t>🔴 CRÍTICA</t>
        </is>
      </c>
      <c r="F13" s="10" t="inlineStr">
        <is>
          <t>Derogación parcial</t>
        </is>
      </c>
      <c r="G13" s="9" t="n">
        <v>0</v>
      </c>
      <c r="H13" s="17">
        <f>G13+3</f>
        <v/>
      </c>
      <c r="I13" s="49" t="inlineStr">
        <is>
          <t>🔴 CRITICAL PATH</t>
        </is>
      </c>
    </row>
    <row r="14">
      <c r="B14" s="48" t="n">
        <v>10</v>
      </c>
      <c r="C14" s="7" t="inlineStr">
        <is>
          <t>Ley Constitucional de Inversión Extranjera Productiva</t>
        </is>
      </c>
      <c r="D14" s="10" t="inlineStr">
        <is>
          <t>Económica</t>
        </is>
      </c>
      <c r="E14" s="48" t="inlineStr">
        <is>
          <t>🔴 CRÍTICA</t>
        </is>
      </c>
      <c r="F14" s="10" t="inlineStr">
        <is>
          <t>Sustitución integral</t>
        </is>
      </c>
      <c r="G14" s="9" t="n">
        <v>0</v>
      </c>
      <c r="H14" s="17">
        <f>G14+6</f>
        <v/>
      </c>
      <c r="I14" s="49" t="inlineStr">
        <is>
          <t>🔴 CRITICAL PATH</t>
        </is>
      </c>
    </row>
    <row r="15">
      <c r="B15" s="48" t="n">
        <v>11</v>
      </c>
      <c r="C15" s="7" t="inlineStr">
        <is>
          <t>Ley Orgánica del Sistema y Servicio Eléctrico</t>
        </is>
      </c>
      <c r="D15" s="10" t="inlineStr">
        <is>
          <t>Sectorial - Eléctrico</t>
        </is>
      </c>
      <c r="E15" s="48" t="inlineStr">
        <is>
          <t>🔴 CRÍTICA</t>
        </is>
      </c>
      <c r="F15" s="10" t="inlineStr">
        <is>
          <t>Reforma integral - unbundling</t>
        </is>
      </c>
      <c r="G15" s="9" t="n">
        <v>0</v>
      </c>
      <c r="H15" s="17">
        <f>G15+9</f>
        <v/>
      </c>
      <c r="I15" s="49" t="inlineStr">
        <is>
          <t>🔴 CRITICAL PATH</t>
        </is>
      </c>
    </row>
    <row r="16">
      <c r="B16" s="48" t="n">
        <v>12</v>
      </c>
      <c r="C16" s="7" t="inlineStr">
        <is>
          <t>Ley Orgánica de Telecomunicaciones</t>
        </is>
      </c>
      <c r="D16" s="10" t="inlineStr">
        <is>
          <t>Sectorial - Telecom</t>
        </is>
      </c>
      <c r="E16" s="48" t="inlineStr">
        <is>
          <t>🟡 ALTA</t>
        </is>
      </c>
      <c r="F16" s="10" t="inlineStr">
        <is>
          <t>Reforma armónica</t>
        </is>
      </c>
      <c r="G16" s="9" t="n">
        <v>6</v>
      </c>
      <c r="H16" s="17">
        <f>G16+6</f>
        <v/>
      </c>
      <c r="I16" s="50" t="inlineStr">
        <is>
          <t>🟡 HIGH</t>
        </is>
      </c>
    </row>
    <row r="17">
      <c r="B17" s="48" t="n">
        <v>13</v>
      </c>
      <c r="C17" s="7" t="inlineStr">
        <is>
          <t>Ley de Instituciones del Sector Bancario</t>
        </is>
      </c>
      <c r="D17" s="10" t="inlineStr">
        <is>
          <t>Sectorial - Banca</t>
        </is>
      </c>
      <c r="E17" s="48" t="inlineStr">
        <is>
          <t>🟡 ALTA</t>
        </is>
      </c>
      <c r="F17" s="10" t="inlineStr">
        <is>
          <t>Reforma integral</t>
        </is>
      </c>
      <c r="G17" s="9" t="n">
        <v>6</v>
      </c>
      <c r="H17" s="17">
        <f>G17+9</f>
        <v/>
      </c>
      <c r="I17" s="50" t="inlineStr">
        <is>
          <t>🟡 HIGH</t>
        </is>
      </c>
    </row>
    <row r="18">
      <c r="B18" s="48" t="n">
        <v>14</v>
      </c>
      <c r="C18" s="7" t="inlineStr">
        <is>
          <t>Ley de la Actividad Aseguradora</t>
        </is>
      </c>
      <c r="D18" s="10" t="inlineStr">
        <is>
          <t>Sectorial - Seguros</t>
        </is>
      </c>
      <c r="E18" s="48" t="inlineStr">
        <is>
          <t>🟢 MEDIA</t>
        </is>
      </c>
      <c r="F18" s="10" t="inlineStr">
        <is>
          <t>Reforma armónica</t>
        </is>
      </c>
      <c r="G18" s="9" t="n">
        <v>12</v>
      </c>
      <c r="H18" s="17">
        <f>G18+9</f>
        <v/>
      </c>
      <c r="I18" s="51" t="inlineStr">
        <is>
          <t>🟢 MEDIUM</t>
        </is>
      </c>
    </row>
    <row r="19">
      <c r="B19" s="48" t="n">
        <v>15</v>
      </c>
      <c r="C19" s="7" t="inlineStr">
        <is>
          <t>Ley Orgánica del Sistema de Seguridad Social</t>
        </is>
      </c>
      <c r="D19" s="10" t="inlineStr">
        <is>
          <t>Social - Pensiones</t>
        </is>
      </c>
      <c r="E19" s="48" t="inlineStr">
        <is>
          <t>🔴 CRÍTICA</t>
        </is>
      </c>
      <c r="F19" s="10" t="inlineStr">
        <is>
          <t>Reforma integral</t>
        </is>
      </c>
      <c r="G19" s="9" t="n">
        <v>0</v>
      </c>
      <c r="H19" s="17">
        <f>G19+12</f>
        <v/>
      </c>
      <c r="I19" s="49" t="inlineStr">
        <is>
          <t>🔴 CRITICAL PATH</t>
        </is>
      </c>
    </row>
    <row r="20">
      <c r="B20" s="48" t="n">
        <v>16</v>
      </c>
      <c r="C20" s="7" t="inlineStr">
        <is>
          <t>Ley del IVSS</t>
        </is>
      </c>
      <c r="D20" s="10" t="inlineStr">
        <is>
          <t>Social - IVSS</t>
        </is>
      </c>
      <c r="E20" s="48" t="inlineStr">
        <is>
          <t>🔴 CRÍTICA</t>
        </is>
      </c>
      <c r="F20" s="10" t="inlineStr">
        <is>
          <t>Reforma integral - separación</t>
        </is>
      </c>
      <c r="G20" s="9" t="n">
        <v>0</v>
      </c>
      <c r="H20" s="17">
        <f>G20+9</f>
        <v/>
      </c>
      <c r="I20" s="49" t="inlineStr">
        <is>
          <t>🔴 CRITICAL PATH</t>
        </is>
      </c>
    </row>
    <row r="21">
      <c r="B21" s="48" t="n">
        <v>17</v>
      </c>
      <c r="C21" s="7" t="inlineStr">
        <is>
          <t>Ley Orgánica de Salud</t>
        </is>
      </c>
      <c r="D21" s="10" t="inlineStr">
        <is>
          <t>Social - Salud</t>
        </is>
      </c>
      <c r="E21" s="48" t="inlineStr">
        <is>
          <t>🔴 CRÍTICA</t>
        </is>
      </c>
      <c r="F21" s="10" t="inlineStr">
        <is>
          <t>Reforma integral</t>
        </is>
      </c>
      <c r="G21" s="9" t="n">
        <v>0</v>
      </c>
      <c r="H21" s="17">
        <f>G21+9</f>
        <v/>
      </c>
      <c r="I21" s="49" t="inlineStr">
        <is>
          <t>🔴 CRITICAL PATH</t>
        </is>
      </c>
    </row>
    <row r="22">
      <c r="B22" s="48" t="n">
        <v>18</v>
      </c>
      <c r="C22" s="7" t="inlineStr">
        <is>
          <t>Ley Orgánica del Trabajo, los Trabajadores y las Trabajadoras (LOTTT)</t>
        </is>
      </c>
      <c r="D22" s="10" t="inlineStr">
        <is>
          <t>Social - Trabajo</t>
        </is>
      </c>
      <c r="E22" s="48" t="inlineStr">
        <is>
          <t>🟡 ALTA</t>
        </is>
      </c>
      <c r="F22" s="10" t="inlineStr">
        <is>
          <t>Reforma armónica</t>
        </is>
      </c>
      <c r="G22" s="9" t="n">
        <v>6</v>
      </c>
      <c r="H22" s="17">
        <f>G22+9</f>
        <v/>
      </c>
      <c r="I22" s="50" t="inlineStr">
        <is>
          <t>🟡 HIGH</t>
        </is>
      </c>
    </row>
    <row r="23">
      <c r="B23" s="48" t="n">
        <v>19</v>
      </c>
      <c r="C23" s="7" t="inlineStr">
        <is>
          <t>Ley Orgánica de Educación</t>
        </is>
      </c>
      <c r="D23" s="10" t="inlineStr">
        <is>
          <t>Social - Educación</t>
        </is>
      </c>
      <c r="E23" s="48" t="inlineStr">
        <is>
          <t>🟡 ALTA</t>
        </is>
      </c>
      <c r="F23" s="10" t="inlineStr">
        <is>
          <t>Reforma armónica</t>
        </is>
      </c>
      <c r="G23" s="9" t="n">
        <v>6</v>
      </c>
      <c r="H23" s="17">
        <f>G23+9</f>
        <v/>
      </c>
      <c r="I23" s="50" t="inlineStr">
        <is>
          <t>🟡 HIGH</t>
        </is>
      </c>
    </row>
    <row r="24">
      <c r="B24" s="48" t="n">
        <v>20</v>
      </c>
      <c r="C24" s="7" t="inlineStr">
        <is>
          <t>Ley de Universidades</t>
        </is>
      </c>
      <c r="D24" s="10" t="inlineStr">
        <is>
          <t>Social - Universidades</t>
        </is>
      </c>
      <c r="E24" s="48" t="inlineStr">
        <is>
          <t>🟡 ALTA</t>
        </is>
      </c>
      <c r="F24" s="10" t="inlineStr">
        <is>
          <t>Modernización integral</t>
        </is>
      </c>
      <c r="G24" s="9" t="n">
        <v>6</v>
      </c>
      <c r="H24" s="17">
        <f>G24+12</f>
        <v/>
      </c>
      <c r="I24" s="50" t="inlineStr">
        <is>
          <t>🟡 HIGH</t>
        </is>
      </c>
    </row>
    <row r="25">
      <c r="B25" s="48" t="n">
        <v>21</v>
      </c>
      <c r="C25" s="7" t="inlineStr">
        <is>
          <t>Ley de Tierras y Desarrollo Agrario</t>
        </is>
      </c>
      <c r="D25" s="10" t="inlineStr">
        <is>
          <t>Sectorial - Agricultura</t>
        </is>
      </c>
      <c r="E25" s="48" t="inlineStr">
        <is>
          <t>🔴 CRÍTICA</t>
        </is>
      </c>
      <c r="F25" s="10" t="inlineStr">
        <is>
          <t>Reforma integral</t>
        </is>
      </c>
      <c r="G25" s="9" t="n">
        <v>0</v>
      </c>
      <c r="H25" s="17">
        <f>G25+9</f>
        <v/>
      </c>
      <c r="I25" s="49" t="inlineStr">
        <is>
          <t>🔴 CRITICAL PATH</t>
        </is>
      </c>
    </row>
    <row r="26">
      <c r="B26" s="48" t="n">
        <v>22</v>
      </c>
      <c r="C26" s="7" t="inlineStr">
        <is>
          <t>Ley de Pesca y Acuicultura</t>
        </is>
      </c>
      <c r="D26" s="10" t="inlineStr">
        <is>
          <t>Sectorial - Agricultura</t>
        </is>
      </c>
      <c r="E26" s="48" t="inlineStr">
        <is>
          <t>🟢 MEDIA</t>
        </is>
      </c>
      <c r="F26" s="10" t="inlineStr">
        <is>
          <t>Reforma armónica</t>
        </is>
      </c>
      <c r="G26" s="9" t="n">
        <v>12</v>
      </c>
      <c r="H26" s="17">
        <f>G26+6</f>
        <v/>
      </c>
      <c r="I26" s="51" t="inlineStr">
        <is>
          <t>🟢 MEDIUM</t>
        </is>
      </c>
    </row>
    <row r="27">
      <c r="B27" s="48" t="n">
        <v>23</v>
      </c>
      <c r="C27" s="7" t="inlineStr">
        <is>
          <t>Ley Orgánica del Tribunal Supremo de Justicia</t>
        </is>
      </c>
      <c r="D27" s="10" t="inlineStr">
        <is>
          <t>Justicia</t>
        </is>
      </c>
      <c r="E27" s="48" t="inlineStr">
        <is>
          <t>🔴 CRÍTICA</t>
        </is>
      </c>
      <c r="F27" s="10" t="inlineStr">
        <is>
          <t>Reforma integral - independencia</t>
        </is>
      </c>
      <c r="G27" s="9" t="n">
        <v>0</v>
      </c>
      <c r="H27" s="17">
        <f>G27+12</f>
        <v/>
      </c>
      <c r="I27" s="49" t="inlineStr">
        <is>
          <t>🔴 CRITICAL PATH</t>
        </is>
      </c>
    </row>
    <row r="28">
      <c r="B28" s="48" t="n">
        <v>24</v>
      </c>
      <c r="C28" s="7" t="inlineStr">
        <is>
          <t>Ley Orgánica del Ministerio Público</t>
        </is>
      </c>
      <c r="D28" s="10" t="inlineStr">
        <is>
          <t>Justicia</t>
        </is>
      </c>
      <c r="E28" s="48" t="inlineStr">
        <is>
          <t>🔴 CRÍTICA</t>
        </is>
      </c>
      <c r="F28" s="10" t="inlineStr">
        <is>
          <t>Reforma integral - independencia</t>
        </is>
      </c>
      <c r="G28" s="9" t="n">
        <v>0</v>
      </c>
      <c r="H28" s="17">
        <f>G28+9</f>
        <v/>
      </c>
      <c r="I28" s="49" t="inlineStr">
        <is>
          <t>🔴 CRITICAL PATH</t>
        </is>
      </c>
    </row>
    <row r="29">
      <c r="B29" s="48" t="n">
        <v>25</v>
      </c>
      <c r="C29" s="7" t="inlineStr">
        <is>
          <t>Ley Orgánica de la Defensoría del Pueblo</t>
        </is>
      </c>
      <c r="D29" s="10" t="inlineStr">
        <is>
          <t>Justicia</t>
        </is>
      </c>
      <c r="E29" s="48" t="inlineStr">
        <is>
          <t>🟡 ALTA</t>
        </is>
      </c>
      <c r="F29" s="10" t="inlineStr">
        <is>
          <t>Reforma armónica</t>
        </is>
      </c>
      <c r="G29" s="9" t="n">
        <v>6</v>
      </c>
      <c r="H29" s="17">
        <f>G29+9</f>
        <v/>
      </c>
      <c r="I29" s="50" t="inlineStr">
        <is>
          <t>🟡 HIGH</t>
        </is>
      </c>
    </row>
    <row r="30">
      <c r="B30" s="48" t="n">
        <v>26</v>
      </c>
      <c r="C30" s="7" t="inlineStr">
        <is>
          <t>Código Orgánico Procesal Penal</t>
        </is>
      </c>
      <c r="D30" s="10" t="inlineStr">
        <is>
          <t>Justicia - Penal</t>
        </is>
      </c>
      <c r="E30" s="48" t="inlineStr">
        <is>
          <t>🟡 ALTA</t>
        </is>
      </c>
      <c r="F30" s="10" t="inlineStr">
        <is>
          <t>Reforma armónica</t>
        </is>
      </c>
      <c r="G30" s="9" t="n">
        <v>6</v>
      </c>
      <c r="H30" s="17">
        <f>G30+12</f>
        <v/>
      </c>
      <c r="I30" s="50" t="inlineStr">
        <is>
          <t>🟡 HIGH</t>
        </is>
      </c>
    </row>
    <row r="31">
      <c r="B31" s="48" t="n">
        <v>27</v>
      </c>
      <c r="C31" s="7" t="inlineStr">
        <is>
          <t>Ley del Cuerpo de Investigaciones Científicas, Penales y Criminalísticas (CICPC)</t>
        </is>
      </c>
      <c r="D31" s="10" t="inlineStr">
        <is>
          <t>Seguridad</t>
        </is>
      </c>
      <c r="E31" s="48" t="inlineStr">
        <is>
          <t>🟡 ALTA</t>
        </is>
      </c>
      <c r="F31" s="10" t="inlineStr">
        <is>
          <t>Modernización</t>
        </is>
      </c>
      <c r="G31" s="9" t="n">
        <v>6</v>
      </c>
      <c r="H31" s="17">
        <f>G31+9</f>
        <v/>
      </c>
      <c r="I31" s="50" t="inlineStr">
        <is>
          <t>🟡 HIGH</t>
        </is>
      </c>
    </row>
    <row r="32">
      <c r="B32" s="48" t="n">
        <v>28</v>
      </c>
      <c r="C32" s="7" t="inlineStr">
        <is>
          <t>Ley Orgánica del Servicio de Policía y Cuerpo de Policía Nacional Bolivariana</t>
        </is>
      </c>
      <c r="D32" s="10" t="inlineStr">
        <is>
          <t>Seguridad</t>
        </is>
      </c>
      <c r="E32" s="48" t="inlineStr">
        <is>
          <t>🔴 CRÍTICA</t>
        </is>
      </c>
      <c r="F32" s="10" t="inlineStr">
        <is>
          <t>Reforma integral</t>
        </is>
      </c>
      <c r="G32" s="9" t="n">
        <v>0</v>
      </c>
      <c r="H32" s="17">
        <f>G32+9</f>
        <v/>
      </c>
      <c r="I32" s="49" t="inlineStr">
        <is>
          <t>🔴 CRITICAL PATH</t>
        </is>
      </c>
    </row>
    <row r="33">
      <c r="B33" s="48" t="n">
        <v>29</v>
      </c>
      <c r="C33" s="7" t="inlineStr">
        <is>
          <t>Ley Contra la Corrupción</t>
        </is>
      </c>
      <c r="D33" s="10" t="inlineStr">
        <is>
          <t>Anticorrupción</t>
        </is>
      </c>
      <c r="E33" s="48" t="inlineStr">
        <is>
          <t>🔴 CRÍTICA</t>
        </is>
      </c>
      <c r="F33" s="10" t="inlineStr">
        <is>
          <t>Reforma integral</t>
        </is>
      </c>
      <c r="G33" s="9" t="n">
        <v>0</v>
      </c>
      <c r="H33" s="17">
        <f>G33+6</f>
        <v/>
      </c>
      <c r="I33" s="49" t="inlineStr">
        <is>
          <t>🔴 CRITICAL PATH</t>
        </is>
      </c>
    </row>
    <row r="34">
      <c r="B34" s="48" t="n">
        <v>30</v>
      </c>
      <c r="C34" s="7" t="inlineStr">
        <is>
          <t>Ley Orgánica del Poder Ciudadano</t>
        </is>
      </c>
      <c r="D34" s="10" t="inlineStr">
        <is>
          <t>Anticorrupción</t>
        </is>
      </c>
      <c r="E34" s="48" t="inlineStr">
        <is>
          <t>🔴 CRÍTICA</t>
        </is>
      </c>
      <c r="F34" s="10" t="inlineStr">
        <is>
          <t>Reforma integral - independencia</t>
        </is>
      </c>
      <c r="G34" s="9" t="n">
        <v>0</v>
      </c>
      <c r="H34" s="17">
        <f>G34+12</f>
        <v/>
      </c>
      <c r="I34" s="49" t="inlineStr">
        <is>
          <t>🔴 CRITICAL PATH</t>
        </is>
      </c>
    </row>
    <row r="35">
      <c r="B35" s="48" t="n">
        <v>31</v>
      </c>
      <c r="C35" s="7" t="inlineStr">
        <is>
          <t>Ley Orgánica del Poder Electoral</t>
        </is>
      </c>
      <c r="D35" s="10" t="inlineStr">
        <is>
          <t>Electoral</t>
        </is>
      </c>
      <c r="E35" s="48" t="inlineStr">
        <is>
          <t>🔴 CRÍTICA</t>
        </is>
      </c>
      <c r="F35" s="10" t="inlineStr">
        <is>
          <t>Reforma integral</t>
        </is>
      </c>
      <c r="G35" s="9" t="n">
        <v>0</v>
      </c>
      <c r="H35" s="17">
        <f>G35+9</f>
        <v/>
      </c>
      <c r="I35" s="49" t="inlineStr">
        <is>
          <t>🔴 CRITICAL PATH</t>
        </is>
      </c>
    </row>
    <row r="36">
      <c r="B36" s="48" t="n">
        <v>32</v>
      </c>
      <c r="C36" s="7" t="inlineStr">
        <is>
          <t>Ley Orgánica de Procesos Electorales</t>
        </is>
      </c>
      <c r="D36" s="10" t="inlineStr">
        <is>
          <t>Electoral</t>
        </is>
      </c>
      <c r="E36" s="48" t="inlineStr">
        <is>
          <t>🔴 CRÍTICA</t>
        </is>
      </c>
      <c r="F36" s="10" t="inlineStr">
        <is>
          <t>Reforma integral</t>
        </is>
      </c>
      <c r="G36" s="9" t="n">
        <v>0</v>
      </c>
      <c r="H36" s="17">
        <f>G36+9</f>
        <v/>
      </c>
      <c r="I36" s="49" t="inlineStr">
        <is>
          <t>🔴 CRITICAL PATH</t>
        </is>
      </c>
    </row>
    <row r="37">
      <c r="B37" s="48" t="n">
        <v>33</v>
      </c>
      <c r="C37" s="7" t="inlineStr">
        <is>
          <t>Ley de Partidos Políticos, Reuniones Públicas y Manifestaciones</t>
        </is>
      </c>
      <c r="D37" s="10" t="inlineStr">
        <is>
          <t>Electoral</t>
        </is>
      </c>
      <c r="E37" s="48" t="inlineStr">
        <is>
          <t>🟡 ALTA</t>
        </is>
      </c>
      <c r="F37" s="10" t="inlineStr">
        <is>
          <t>Modernización</t>
        </is>
      </c>
      <c r="G37" s="9" t="n">
        <v>6</v>
      </c>
      <c r="H37" s="17">
        <f>G37+9</f>
        <v/>
      </c>
      <c r="I37" s="50" t="inlineStr">
        <is>
          <t>🟡 HIGH</t>
        </is>
      </c>
    </row>
    <row r="38">
      <c r="B38" s="48" t="n">
        <v>34</v>
      </c>
      <c r="C38" s="7" t="inlineStr">
        <is>
          <t>Ley sobre Mensajes de Datos y Firmas Electrónicas</t>
        </is>
      </c>
      <c r="D38" s="10" t="inlineStr">
        <is>
          <t>Tecnología/Estado Digital</t>
        </is>
      </c>
      <c r="E38" s="48" t="inlineStr">
        <is>
          <t>🟡 ALTA</t>
        </is>
      </c>
      <c r="F38" s="10" t="inlineStr">
        <is>
          <t>Reforma integral - moderna</t>
        </is>
      </c>
      <c r="G38" s="9" t="n">
        <v>6</v>
      </c>
      <c r="H38" s="17">
        <f>G38+6</f>
        <v/>
      </c>
      <c r="I38" s="50" t="inlineStr">
        <is>
          <t>🟡 HIGH</t>
        </is>
      </c>
    </row>
    <row r="39">
      <c r="B39" s="48" t="n">
        <v>35</v>
      </c>
      <c r="C39" s="7" t="inlineStr">
        <is>
          <t>Ley Especial Contra los Delitos Informáticos</t>
        </is>
      </c>
      <c r="D39" s="10" t="inlineStr">
        <is>
          <t>Tecnología/Estado Digital</t>
        </is>
      </c>
      <c r="E39" s="48" t="inlineStr">
        <is>
          <t>🟡 ALTA</t>
        </is>
      </c>
      <c r="F39" s="10" t="inlineStr">
        <is>
          <t>Modernización</t>
        </is>
      </c>
      <c r="G39" s="9" t="n">
        <v>6</v>
      </c>
      <c r="H39" s="17">
        <f>G39+6</f>
        <v/>
      </c>
      <c r="I39" s="50" t="inlineStr">
        <is>
          <t>🟡 HIGH</t>
        </is>
      </c>
    </row>
    <row r="40">
      <c r="B40" s="48" t="n">
        <v>36</v>
      </c>
      <c r="C40" s="7" t="inlineStr">
        <is>
          <t>Ley sobre Acceso a la Información Pública</t>
        </is>
      </c>
      <c r="D40" s="10" t="inlineStr">
        <is>
          <t>Estado Digital</t>
        </is>
      </c>
      <c r="E40" s="48" t="inlineStr">
        <is>
          <t>🔴 CRÍTICA</t>
        </is>
      </c>
      <c r="F40" s="10" t="inlineStr">
        <is>
          <t>**Crear ley nueva**</t>
        </is>
      </c>
      <c r="G40" s="9" t="n">
        <v>0</v>
      </c>
      <c r="H40" s="17">
        <f>G40+9</f>
        <v/>
      </c>
      <c r="I40" s="49" t="inlineStr">
        <is>
          <t>🔴 CRITICAL PATH</t>
        </is>
      </c>
    </row>
    <row r="41">
      <c r="B41" s="48" t="n">
        <v>37</v>
      </c>
      <c r="C41" s="7" t="inlineStr">
        <is>
          <t>Ley sobre Tratados Internacionales</t>
        </is>
      </c>
      <c r="D41" s="10" t="inlineStr">
        <is>
          <t>Comercio Exterior</t>
        </is>
      </c>
      <c r="E41" s="48" t="inlineStr">
        <is>
          <t>🔴 CRÍTICA</t>
        </is>
      </c>
      <c r="F41" s="10" t="inlineStr">
        <is>
          <t>Aprobaciones múltiples</t>
        </is>
      </c>
      <c r="G41" s="9" t="n">
        <v>0</v>
      </c>
      <c r="H41" s="17">
        <f>G41+9</f>
        <v/>
      </c>
      <c r="I41" s="49" t="inlineStr">
        <is>
          <t>🔴 CRITICAL PATH</t>
        </is>
      </c>
    </row>
    <row r="42">
      <c r="B42" s="48" t="n">
        <v>38</v>
      </c>
      <c r="C42" s="7" t="inlineStr">
        <is>
          <t>Ley Orgánica del Ambiente</t>
        </is>
      </c>
      <c r="D42" s="10" t="inlineStr">
        <is>
          <t>Ambiental</t>
        </is>
      </c>
      <c r="E42" s="48" t="inlineStr">
        <is>
          <t>🟡 ALTA</t>
        </is>
      </c>
      <c r="F42" s="10" t="inlineStr">
        <is>
          <t>Reforma armónica</t>
        </is>
      </c>
      <c r="G42" s="9" t="n">
        <v>6</v>
      </c>
      <c r="H42" s="17">
        <f>G42+9</f>
        <v/>
      </c>
      <c r="I42" s="50" t="inlineStr">
        <is>
          <t>🟡 HIGH</t>
        </is>
      </c>
    </row>
    <row r="43">
      <c r="B43" s="48" t="n">
        <v>39</v>
      </c>
      <c r="C43" s="7" t="inlineStr">
        <is>
          <t>Ley Penal del Ambiente</t>
        </is>
      </c>
      <c r="D43" s="10" t="inlineStr">
        <is>
          <t>Ambiental</t>
        </is>
      </c>
      <c r="E43" s="48" t="inlineStr">
        <is>
          <t>🟡 ALTA</t>
        </is>
      </c>
      <c r="F43" s="10" t="inlineStr">
        <is>
          <t>Reforma armónica</t>
        </is>
      </c>
      <c r="G43" s="9" t="n">
        <v>6</v>
      </c>
      <c r="H43" s="17">
        <f>G43+9</f>
        <v/>
      </c>
      <c r="I43" s="50" t="inlineStr">
        <is>
          <t>🟡 HIGH</t>
        </is>
      </c>
    </row>
    <row r="44">
      <c r="B44" s="48" t="n">
        <v>40</v>
      </c>
      <c r="C44" s="7" t="inlineStr">
        <is>
          <t>Ley Orgánica de Pueblos y Comunidades Indígenas</t>
        </is>
      </c>
      <c r="D44" s="10" t="inlineStr">
        <is>
          <t>Indígena</t>
        </is>
      </c>
      <c r="E44" s="48" t="inlineStr">
        <is>
          <t>🔴 CRÍTICA</t>
        </is>
      </c>
      <c r="F44" s="10" t="inlineStr">
        <is>
          <t>Reforma armónica</t>
        </is>
      </c>
      <c r="G44" s="9" t="n">
        <v>0</v>
      </c>
      <c r="H44" s="17">
        <f>G44+9</f>
        <v/>
      </c>
      <c r="I44" s="49" t="inlineStr">
        <is>
          <t>🔴 CRITICAL PATH</t>
        </is>
      </c>
    </row>
    <row r="45">
      <c r="B45" s="48" t="n">
        <v>41</v>
      </c>
      <c r="C45" s="7" t="inlineStr">
        <is>
          <t>Ley Orgánica Contra la Delincuencia Organizada y Financiamiento al Terrorismo</t>
        </is>
      </c>
      <c r="D45" s="10" t="inlineStr">
        <is>
          <t>Recuperación de Activos</t>
        </is>
      </c>
      <c r="E45" s="48" t="inlineStr">
        <is>
          <t>🔴 CRÍTICA</t>
        </is>
      </c>
      <c r="F45" s="10" t="inlineStr">
        <is>
          <t>Reforma armónica - cooperación intl</t>
        </is>
      </c>
      <c r="G45" s="9" t="n">
        <v>0</v>
      </c>
      <c r="H45" s="17">
        <f>G45+9</f>
        <v/>
      </c>
      <c r="I45" s="49" t="inlineStr">
        <is>
          <t>🔴 CRITICAL PATH</t>
        </is>
      </c>
    </row>
    <row r="46">
      <c r="B46" s="48" t="n">
        <v>42</v>
      </c>
      <c r="C46" s="7" t="inlineStr">
        <is>
          <t>Ley Orgánica del Poder Público Municipal</t>
        </is>
      </c>
      <c r="D46" s="10" t="inlineStr">
        <is>
          <t>Local/Municipal</t>
        </is>
      </c>
      <c r="E46" s="48" t="inlineStr">
        <is>
          <t>🟡 ALTA</t>
        </is>
      </c>
      <c r="F46" s="10" t="inlineStr">
        <is>
          <t>Reforma armónica</t>
        </is>
      </c>
      <c r="G46" s="9" t="n">
        <v>6</v>
      </c>
      <c r="H46" s="17">
        <f>G46+12</f>
        <v/>
      </c>
      <c r="I46" s="50" t="inlineStr">
        <is>
          <t>🟡 HIGH</t>
        </is>
      </c>
    </row>
    <row r="47">
      <c r="B47" s="48" t="n">
        <v>43</v>
      </c>
      <c r="C47" s="7" t="inlineStr">
        <is>
          <t>Ley Orgánica de Descentralización</t>
        </is>
      </c>
      <c r="D47" s="10" t="inlineStr">
        <is>
          <t>Local/Estadal</t>
        </is>
      </c>
      <c r="E47" s="48" t="inlineStr">
        <is>
          <t>🟡 ALTA</t>
        </is>
      </c>
      <c r="F47" s="10" t="inlineStr">
        <is>
          <t>Reforma integral</t>
        </is>
      </c>
      <c r="G47" s="9" t="n">
        <v>6</v>
      </c>
      <c r="H47" s="17">
        <f>G47+12</f>
        <v/>
      </c>
      <c r="I47" s="50" t="inlineStr">
        <is>
          <t>🟡 HIGH</t>
        </is>
      </c>
    </row>
    <row r="48">
      <c r="B48" s="48" t="n">
        <v>44</v>
      </c>
      <c r="C48" s="7" t="inlineStr">
        <is>
          <t>Ley de Responsabilidad Social en Radio, Televisión y Medios Electrónicos</t>
        </is>
      </c>
      <c r="D48" s="10" t="inlineStr">
        <is>
          <t>Medios</t>
        </is>
      </c>
      <c r="E48" s="48" t="inlineStr">
        <is>
          <t>🟡 ALTA</t>
        </is>
      </c>
      <c r="F48" s="10" t="inlineStr">
        <is>
          <t>Reforma integral - libertad</t>
        </is>
      </c>
      <c r="G48" s="9" t="n">
        <v>6</v>
      </c>
      <c r="H48" s="17">
        <f>G48+6</f>
        <v/>
      </c>
      <c r="I48" s="50" t="inlineStr">
        <is>
          <t>🟡 HIGH</t>
        </is>
      </c>
    </row>
    <row r="49">
      <c r="B49" s="48" t="n">
        <v>45</v>
      </c>
      <c r="C49" s="7" t="inlineStr">
        <is>
          <t>Ley Orgánica de la Fuerza Armada Nacional Bolivariana</t>
        </is>
      </c>
      <c r="D49" s="10" t="inlineStr">
        <is>
          <t>Militar</t>
        </is>
      </c>
      <c r="E49" s="48" t="inlineStr">
        <is>
          <t>🔴 CRÍTICA</t>
        </is>
      </c>
      <c r="F49" s="10" t="inlineStr">
        <is>
          <t>Reforma integral</t>
        </is>
      </c>
      <c r="G49" s="9" t="n">
        <v>0</v>
      </c>
      <c r="H49" s="17">
        <f>G49+12</f>
        <v/>
      </c>
      <c r="I49" s="49" t="inlineStr">
        <is>
          <t>🔴 CRITICAL PATH</t>
        </is>
      </c>
    </row>
    <row r="50">
      <c r="B50" s="48" t="n">
        <v>46</v>
      </c>
      <c r="C50" s="7" t="inlineStr">
        <is>
          <t>Ley Orgánica de Zonas Económicas Especiales</t>
        </is>
      </c>
      <c r="D50" s="10" t="inlineStr">
        <is>
          <t>Zonas Económicas Especiales</t>
        </is>
      </c>
      <c r="E50" s="48" t="inlineStr">
        <is>
          <t>🟡 ALTA</t>
        </is>
      </c>
      <c r="F50" s="10" t="inlineStr">
        <is>
          <t>Reforma integral - sustitución</t>
        </is>
      </c>
      <c r="G50" s="9" t="n">
        <v>6</v>
      </c>
      <c r="H50" s="17">
        <f>G50+9</f>
        <v/>
      </c>
      <c r="I50" s="50" t="inlineStr">
        <is>
          <t>🟡 HIGH</t>
        </is>
      </c>
    </row>
    <row r="51">
      <c r="B51" s="48" t="n">
        <v>47</v>
      </c>
      <c r="C51" s="7" t="inlineStr">
        <is>
          <t>Ley de Impuesto sobre la Renta</t>
        </is>
      </c>
      <c r="D51" s="10" t="inlineStr">
        <is>
          <t>Tributaria</t>
        </is>
      </c>
      <c r="E51" s="48" t="inlineStr">
        <is>
          <t>🔴 CRÍTICA</t>
        </is>
      </c>
      <c r="F51" s="10" t="inlineStr">
        <is>
          <t>Suspensión 10 años</t>
        </is>
      </c>
      <c r="G51" s="9" t="n">
        <v>0</v>
      </c>
      <c r="H51" s="17">
        <f>G51+6</f>
        <v/>
      </c>
      <c r="I51" s="49" t="inlineStr">
        <is>
          <t>🔴 CRITICAL PATH</t>
        </is>
      </c>
    </row>
    <row r="52">
      <c r="B52" s="48" t="n">
        <v>48</v>
      </c>
      <c r="C52" s="7" t="inlineStr">
        <is>
          <t>Ley de Impuesto al Valor Agregado</t>
        </is>
      </c>
      <c r="D52" s="10" t="inlineStr">
        <is>
          <t>Tributaria</t>
        </is>
      </c>
      <c r="E52" s="48" t="inlineStr">
        <is>
          <t>🔴 CRÍTICA</t>
        </is>
      </c>
      <c r="F52" s="10" t="inlineStr">
        <is>
          <t>Reforma armónica</t>
        </is>
      </c>
      <c r="G52" s="9" t="n">
        <v>0</v>
      </c>
      <c r="H52" s="17">
        <f>G52+6</f>
        <v/>
      </c>
      <c r="I52" s="49" t="inlineStr">
        <is>
          <t>🔴 CRITICAL PATH</t>
        </is>
      </c>
    </row>
    <row r="53">
      <c r="B53" s="48" t="n">
        <v>49</v>
      </c>
      <c r="C53" s="7" t="inlineStr">
        <is>
          <t>Ley de Impuesto a las Grandes Transacciones Financieras (IGTF)</t>
        </is>
      </c>
      <c r="D53" s="10" t="inlineStr">
        <is>
          <t>Tributaria</t>
        </is>
      </c>
      <c r="E53" s="48" t="inlineStr">
        <is>
          <t>🔴 CRÍTICA</t>
        </is>
      </c>
      <c r="F53" s="10" t="inlineStr">
        <is>
          <t>Suspensión</t>
        </is>
      </c>
      <c r="G53" s="9" t="n">
        <v>0</v>
      </c>
      <c r="H53" s="17">
        <f>G53+3</f>
        <v/>
      </c>
      <c r="I53" s="49" t="inlineStr">
        <is>
          <t>🔴 CRITICAL PATH</t>
        </is>
      </c>
    </row>
    <row r="55">
      <c r="B55" s="7" t="inlineStr">
        <is>
          <t>CRITICAL PATH (max end month)</t>
        </is>
      </c>
      <c r="H55" s="52">
        <f>MAX(H5:H53)</f>
        <v/>
      </c>
    </row>
  </sheetData>
  <mergeCells count="1">
    <mergeCell ref="B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2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8" customWidth="1" min="2" max="2"/>
    <col width="16" customWidth="1" min="3" max="3"/>
    <col width="14" customWidth="1" min="4" max="4"/>
    <col width="14" customWidth="1" min="5" max="5"/>
    <col width="40" customWidth="1" min="6" max="6"/>
  </cols>
  <sheetData>
    <row r="2" ht="28" customHeight="1">
      <c r="B2" s="5" t="inlineStr">
        <is>
          <t>PLAN GÉNESIS — INPUT ASSUMPTIONS (editar celdas amarillas)</t>
        </is>
      </c>
    </row>
    <row r="4" ht="22" customHeight="1">
      <c r="B4" s="6" t="inlineStr">
        <is>
          <t>Parámetro</t>
        </is>
      </c>
      <c r="C4" s="6" t="inlineStr">
        <is>
          <t>Valor</t>
        </is>
      </c>
      <c r="D4" s="6" t="inlineStr">
        <is>
          <t>Mínimo</t>
        </is>
      </c>
      <c r="E4" s="6" t="inlineStr">
        <is>
          <t>Máximo</t>
        </is>
      </c>
      <c r="F4" s="6" t="inlineStr">
        <is>
          <t>Descripción</t>
        </is>
      </c>
    </row>
    <row r="5">
      <c r="B5" s="7" t="inlineStr">
        <is>
          <t>Oil price (USD/bbl)</t>
        </is>
      </c>
      <c r="C5" s="8" t="n">
        <v>65</v>
      </c>
      <c r="D5" s="9" t="n">
        <v>40</v>
      </c>
      <c r="E5" s="9" t="n">
        <v>120</v>
      </c>
      <c r="F5" s="10" t="inlineStr">
        <is>
          <t>Brent benchmark utilizado en oil revenue.</t>
        </is>
      </c>
    </row>
    <row r="6">
      <c r="B6" s="7" t="inlineStr">
        <is>
          <t>Oil production target Y10 (kbpd)</t>
        </is>
      </c>
      <c r="C6" s="8" t="n">
        <v>2500</v>
      </c>
      <c r="D6" s="9" t="n">
        <v>1500</v>
      </c>
      <c r="E6" s="9" t="n">
        <v>3500</v>
      </c>
      <c r="F6" s="10" t="inlineStr">
        <is>
          <t>Producción objetivo año 10 (miles bpd).</t>
        </is>
      </c>
    </row>
    <row r="7">
      <c r="B7" s="7" t="inlineStr">
        <is>
          <t>Royalty rate — Petróleo</t>
        </is>
      </c>
      <c r="C7" s="11" t="n">
        <v>0.2</v>
      </c>
      <c r="D7" s="12" t="n">
        <v>0.1</v>
      </c>
      <c r="E7" s="12" t="n">
        <v>0.3</v>
      </c>
      <c r="F7" s="10" t="inlineStr">
        <is>
          <t>Regalía petrolera Plan Génesis Y1-10.</t>
        </is>
      </c>
    </row>
    <row r="8">
      <c r="B8" s="7" t="inlineStr">
        <is>
          <t>Royalty rate — Minería</t>
        </is>
      </c>
      <c r="C8" s="11" t="n">
        <v>0.13</v>
      </c>
      <c r="D8" s="12" t="n">
        <v>0.08</v>
      </c>
      <c r="E8" s="12" t="n">
        <v>0.2</v>
      </c>
      <c r="F8" s="10" t="inlineStr">
        <is>
          <t>Regalía minera Ley Abril 2026.</t>
        </is>
      </c>
    </row>
    <row r="9">
      <c r="B9" s="7" t="inlineStr">
        <is>
          <t>Corporate Income Tax (CIT)</t>
        </is>
      </c>
      <c r="C9" s="11" t="n">
        <v>0.25</v>
      </c>
      <c r="D9" s="12" t="n">
        <v>0.2</v>
      </c>
      <c r="E9" s="12" t="n">
        <v>0.35</v>
      </c>
      <c r="F9" s="10" t="inlineStr">
        <is>
          <t>ISLR aplicable post régimen restaurativo (Y11+).</t>
        </is>
      </c>
    </row>
    <row r="10">
      <c r="B10" s="7" t="inlineStr">
        <is>
          <t>Discount rate (WACC)</t>
        </is>
      </c>
      <c r="C10" s="11" t="n">
        <v>0.09</v>
      </c>
      <c r="D10" s="12" t="n">
        <v>0.06</v>
      </c>
      <c r="E10" s="12" t="n">
        <v>0.12</v>
      </c>
      <c r="F10" s="10" t="inlineStr">
        <is>
          <t>WACC blended para DCF soberano.</t>
        </is>
      </c>
    </row>
    <row r="11">
      <c r="B11" s="7" t="inlineStr">
        <is>
          <t>Bond recovery rate (blended)</t>
        </is>
      </c>
      <c r="C11" s="11" t="n">
        <v>0.5600000000000001</v>
      </c>
      <c r="D11" s="12" t="n">
        <v>0.4</v>
      </c>
      <c r="E11" s="12" t="n">
        <v>0.7</v>
      </c>
      <c r="F11" s="10" t="inlineStr">
        <is>
          <t>Recovery promedio canje deuda externa.</t>
        </is>
      </c>
    </row>
    <row r="12">
      <c r="B12" s="7" t="inlineStr">
        <is>
          <t>Patrimonio Y20 NAV target (USD B)</t>
        </is>
      </c>
      <c r="C12" s="8" t="n">
        <v>490</v>
      </c>
      <c r="D12" s="9" t="n">
        <v>200</v>
      </c>
      <c r="E12" s="9" t="n">
        <v>800</v>
      </c>
      <c r="F12" s="10" t="inlineStr">
        <is>
          <t>Objetivo patrimonio soberano neto Y20.</t>
        </is>
      </c>
    </row>
    <row r="13">
      <c r="B13" s="7" t="inlineStr">
        <is>
          <t>USD/VES Y20</t>
        </is>
      </c>
      <c r="C13" s="8" t="n">
        <v>35</v>
      </c>
      <c r="D13" s="9" t="n">
        <v>20</v>
      </c>
      <c r="E13" s="9" t="n">
        <v>50</v>
      </c>
      <c r="F13" s="10" t="inlineStr">
        <is>
          <t>Tipo de cambio nominal proyectado Y20.</t>
        </is>
      </c>
    </row>
    <row r="14">
      <c r="B14" s="7" t="inlineStr">
        <is>
          <t>Privatization discount</t>
        </is>
      </c>
      <c r="C14" s="11" t="n">
        <v>0.25</v>
      </c>
      <c r="D14" s="12" t="n">
        <v>0.1</v>
      </c>
      <c r="E14" s="12" t="n">
        <v>0.4</v>
      </c>
      <c r="F14" s="10" t="inlineStr">
        <is>
          <t>Descuento aplicado vs fair value (IPO premium).</t>
        </is>
      </c>
    </row>
    <row r="15">
      <c r="B15" s="7" t="inlineStr">
        <is>
          <t>SWF real return</t>
        </is>
      </c>
      <c r="C15" s="11" t="n">
        <v>0.065</v>
      </c>
      <c r="D15" s="12" t="n">
        <v>0.04</v>
      </c>
      <c r="E15" s="12" t="n">
        <v>0.09</v>
      </c>
      <c r="F15" s="10" t="inlineStr">
        <is>
          <t>Retorno anual real esperado FSI (modelo Norges).</t>
        </is>
      </c>
    </row>
    <row r="16">
      <c r="B16" s="7" t="inlineStr">
        <is>
          <t>SWF spending rule</t>
        </is>
      </c>
      <c r="C16" s="11" t="n">
        <v>0.03</v>
      </c>
      <c r="D16" s="12" t="n">
        <v>0.02</v>
      </c>
      <c r="E16" s="12" t="n">
        <v>0.05</v>
      </c>
      <c r="F16" s="10" t="inlineStr">
        <is>
          <t>Regla de gasto FSI (% AUM/año).</t>
        </is>
      </c>
    </row>
    <row r="17">
      <c r="B17" s="7" t="inlineStr">
        <is>
          <t>Bond exchange new coupon</t>
        </is>
      </c>
      <c r="C17" s="11" t="n">
        <v>0.06</v>
      </c>
      <c r="D17" s="12" t="n">
        <v>0.04</v>
      </c>
      <c r="E17" s="12" t="n">
        <v>0.08</v>
      </c>
      <c r="F17" s="10" t="inlineStr">
        <is>
          <t>Cupón nueva emisión post-canje.</t>
        </is>
      </c>
    </row>
    <row r="18">
      <c r="B18" s="7" t="inlineStr">
        <is>
          <t>Bond exchange new tenor (años)</t>
        </is>
      </c>
      <c r="C18" s="8" t="n">
        <v>15</v>
      </c>
      <c r="D18" s="9" t="n">
        <v>10</v>
      </c>
      <c r="E18" s="9" t="n">
        <v>30</v>
      </c>
      <c r="F18" s="10" t="inlineStr">
        <is>
          <t>Plazo nueva emisión.</t>
        </is>
      </c>
    </row>
    <row r="19">
      <c r="B19" s="7" t="inlineStr">
        <is>
          <t>Oil price scenario adj. — Bear</t>
        </is>
      </c>
      <c r="C19" s="11" t="n">
        <v>-0.3</v>
      </c>
      <c r="D19" s="12" t="n">
        <v>-0.5</v>
      </c>
      <c r="E19" s="12" t="n">
        <v>0</v>
      </c>
      <c r="F19" s="10" t="inlineStr">
        <is>
          <t>Ajuste % escenario pesimista.</t>
        </is>
      </c>
    </row>
    <row r="20">
      <c r="B20" s="7" t="inlineStr">
        <is>
          <t>Oil price scenario adj. — Bull</t>
        </is>
      </c>
      <c r="C20" s="11" t="n">
        <v>0.3</v>
      </c>
      <c r="D20" s="12" t="n">
        <v>0</v>
      </c>
      <c r="E20" s="12" t="n">
        <v>0.6</v>
      </c>
      <c r="F20" s="10" t="inlineStr">
        <is>
          <t>Ajuste % escenario optimista.</t>
        </is>
      </c>
    </row>
    <row r="23">
      <c r="B23" s="13" t="inlineStr">
        <is>
          <t>Leyenda</t>
        </is>
      </c>
    </row>
    <row r="24">
      <c r="B24" s="14" t="inlineStr">
        <is>
          <t>Celda editable (input)</t>
        </is>
      </c>
    </row>
    <row r="25">
      <c r="B25" s="15" t="inlineStr">
        <is>
          <t>Celda con fórmula (no editar)</t>
        </is>
      </c>
    </row>
    <row r="26">
      <c r="B26" t="inlineStr">
        <is>
          <t>Rango fuera de bounds → rojo</t>
        </is>
      </c>
    </row>
  </sheetData>
  <mergeCells count="1">
    <mergeCell ref="B2:F2"/>
  </mergeCells>
  <conditionalFormatting sqref="C5">
    <cfRule type="cellIs" priority="1" operator="lessThan" dxfId="0">
      <formula>D5</formula>
    </cfRule>
    <cfRule type="cellIs" priority="2" operator="greaterThan" dxfId="0">
      <formula>E5</formula>
    </cfRule>
  </conditionalFormatting>
  <conditionalFormatting sqref="C6">
    <cfRule type="cellIs" priority="3" operator="lessThan" dxfId="0">
      <formula>D6</formula>
    </cfRule>
    <cfRule type="cellIs" priority="4" operator="greaterThan" dxfId="0">
      <formula>E6</formula>
    </cfRule>
  </conditionalFormatting>
  <conditionalFormatting sqref="C7">
    <cfRule type="cellIs" priority="5" operator="lessThan" dxfId="0">
      <formula>D7</formula>
    </cfRule>
    <cfRule type="cellIs" priority="6" operator="greaterThan" dxfId="0">
      <formula>E7</formula>
    </cfRule>
  </conditionalFormatting>
  <conditionalFormatting sqref="C8">
    <cfRule type="cellIs" priority="7" operator="lessThan" dxfId="0">
      <formula>D8</formula>
    </cfRule>
    <cfRule type="cellIs" priority="8" operator="greaterThan" dxfId="0">
      <formula>E8</formula>
    </cfRule>
  </conditionalFormatting>
  <conditionalFormatting sqref="C9">
    <cfRule type="cellIs" priority="9" operator="lessThan" dxfId="0">
      <formula>D9</formula>
    </cfRule>
    <cfRule type="cellIs" priority="10" operator="greaterThan" dxfId="0">
      <formula>E9</formula>
    </cfRule>
  </conditionalFormatting>
  <conditionalFormatting sqref="C10">
    <cfRule type="cellIs" priority="11" operator="lessThan" dxfId="0">
      <formula>D10</formula>
    </cfRule>
    <cfRule type="cellIs" priority="12" operator="greaterThan" dxfId="0">
      <formula>E10</formula>
    </cfRule>
  </conditionalFormatting>
  <conditionalFormatting sqref="C11">
    <cfRule type="cellIs" priority="13" operator="lessThan" dxfId="0">
      <formula>D11</formula>
    </cfRule>
    <cfRule type="cellIs" priority="14" operator="greaterThan" dxfId="0">
      <formula>E11</formula>
    </cfRule>
  </conditionalFormatting>
  <conditionalFormatting sqref="C12">
    <cfRule type="cellIs" priority="15" operator="lessThan" dxfId="0">
      <formula>D12</formula>
    </cfRule>
    <cfRule type="cellIs" priority="16" operator="greaterThan" dxfId="0">
      <formula>E12</formula>
    </cfRule>
  </conditionalFormatting>
  <conditionalFormatting sqref="C13">
    <cfRule type="cellIs" priority="17" operator="lessThan" dxfId="0">
      <formula>D13</formula>
    </cfRule>
    <cfRule type="cellIs" priority="18" operator="greaterThan" dxfId="0">
      <formula>E13</formula>
    </cfRule>
  </conditionalFormatting>
  <conditionalFormatting sqref="C14">
    <cfRule type="cellIs" priority="19" operator="lessThan" dxfId="0">
      <formula>D14</formula>
    </cfRule>
    <cfRule type="cellIs" priority="20" operator="greaterThan" dxfId="0">
      <formula>E14</formula>
    </cfRule>
  </conditionalFormatting>
  <conditionalFormatting sqref="C15">
    <cfRule type="cellIs" priority="21" operator="lessThan" dxfId="0">
      <formula>D15</formula>
    </cfRule>
    <cfRule type="cellIs" priority="22" operator="greaterThan" dxfId="0">
      <formula>E15</formula>
    </cfRule>
  </conditionalFormatting>
  <conditionalFormatting sqref="C16">
    <cfRule type="cellIs" priority="23" operator="lessThan" dxfId="0">
      <formula>D16</formula>
    </cfRule>
    <cfRule type="cellIs" priority="24" operator="greaterThan" dxfId="0">
      <formula>E16</formula>
    </cfRule>
  </conditionalFormatting>
  <conditionalFormatting sqref="C17">
    <cfRule type="cellIs" priority="25" operator="lessThan" dxfId="0">
      <formula>D17</formula>
    </cfRule>
    <cfRule type="cellIs" priority="26" operator="greaterThan" dxfId="0">
      <formula>E17</formula>
    </cfRule>
  </conditionalFormatting>
  <conditionalFormatting sqref="C18">
    <cfRule type="cellIs" priority="27" operator="lessThan" dxfId="0">
      <formula>D18</formula>
    </cfRule>
    <cfRule type="cellIs" priority="28" operator="greaterThan" dxfId="0">
      <formula>E18</formula>
    </cfRule>
  </conditionalFormatting>
  <conditionalFormatting sqref="C19">
    <cfRule type="cellIs" priority="29" operator="lessThan" dxfId="0">
      <formula>D19</formula>
    </cfRule>
    <cfRule type="cellIs" priority="30" operator="greaterThan" dxfId="0">
      <formula>E19</formula>
    </cfRule>
  </conditionalFormatting>
  <conditionalFormatting sqref="C20">
    <cfRule type="cellIs" priority="31" operator="lessThan" dxfId="0">
      <formula>D20</formula>
    </cfRule>
    <cfRule type="cellIs" priority="32" operator="greaterThan" dxfId="0">
      <formula>E20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M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2" ht="24" customHeight="1">
      <c r="B2" s="6" t="inlineStr">
        <is>
          <t>OIL REVENUE MODEL — Y0 a Y10 (mmUSD anual)</t>
        </is>
      </c>
    </row>
    <row r="4">
      <c r="B4" s="16" t="inlineStr">
        <is>
          <t>Concepto</t>
        </is>
      </c>
      <c r="C4" s="6" t="inlineStr">
        <is>
          <t>Y0</t>
        </is>
      </c>
      <c r="D4" s="6" t="inlineStr">
        <is>
          <t>Y1</t>
        </is>
      </c>
      <c r="E4" s="6" t="inlineStr">
        <is>
          <t>Y2</t>
        </is>
      </c>
      <c r="F4" s="6" t="inlineStr">
        <is>
          <t>Y3</t>
        </is>
      </c>
      <c r="G4" s="6" t="inlineStr">
        <is>
          <t>Y4</t>
        </is>
      </c>
      <c r="H4" s="6" t="inlineStr">
        <is>
          <t>Y5</t>
        </is>
      </c>
      <c r="I4" s="6" t="inlineStr">
        <is>
          <t>Y6</t>
        </is>
      </c>
      <c r="J4" s="6" t="inlineStr">
        <is>
          <t>Y7</t>
        </is>
      </c>
      <c r="K4" s="6" t="inlineStr">
        <is>
          <t>Y8</t>
        </is>
      </c>
      <c r="L4" s="6" t="inlineStr">
        <is>
          <t>Y9</t>
        </is>
      </c>
      <c r="M4" s="6" t="inlineStr">
        <is>
          <t>Y10</t>
        </is>
      </c>
    </row>
    <row r="5">
      <c r="B5" s="7" t="inlineStr">
        <is>
          <t>Producción (kbpd)</t>
        </is>
      </c>
      <c r="C5" s="17" t="n">
        <v>850</v>
      </c>
      <c r="D5" s="17">
        <f>850+(oil_prod_y10-850)*1/10</f>
        <v/>
      </c>
      <c r="E5" s="17">
        <f>850+(oil_prod_y10-850)*2/10</f>
        <v/>
      </c>
      <c r="F5" s="17">
        <f>850+(oil_prod_y10-850)*3/10</f>
        <v/>
      </c>
      <c r="G5" s="17">
        <f>850+(oil_prod_y10-850)*4/10</f>
        <v/>
      </c>
      <c r="H5" s="17">
        <f>850+(oil_prod_y10-850)*5/10</f>
        <v/>
      </c>
      <c r="I5" s="17">
        <f>850+(oil_prod_y10-850)*6/10</f>
        <v/>
      </c>
      <c r="J5" s="17">
        <f>850+(oil_prod_y10-850)*7/10</f>
        <v/>
      </c>
      <c r="K5" s="17">
        <f>850+(oil_prod_y10-850)*8/10</f>
        <v/>
      </c>
      <c r="L5" s="17">
        <f>850+(oil_prod_y10-850)*9/10</f>
        <v/>
      </c>
      <c r="M5" s="17">
        <f>850+(oil_prod_y10-850)*10/10</f>
        <v/>
      </c>
    </row>
    <row r="6">
      <c r="B6" s="7" t="inlineStr">
        <is>
          <t>Precio Brent ($/bbl)</t>
        </is>
      </c>
      <c r="C6" s="18">
        <f>oil_price</f>
        <v/>
      </c>
      <c r="D6" s="18">
        <f>oil_price</f>
        <v/>
      </c>
      <c r="E6" s="18">
        <f>oil_price</f>
        <v/>
      </c>
      <c r="F6" s="18">
        <f>oil_price</f>
        <v/>
      </c>
      <c r="G6" s="18">
        <f>oil_price</f>
        <v/>
      </c>
      <c r="H6" s="18">
        <f>oil_price</f>
        <v/>
      </c>
      <c r="I6" s="18">
        <f>oil_price</f>
        <v/>
      </c>
      <c r="J6" s="18">
        <f>oil_price</f>
        <v/>
      </c>
      <c r="K6" s="18">
        <f>oil_price</f>
        <v/>
      </c>
      <c r="L6" s="18">
        <f>oil_price</f>
        <v/>
      </c>
      <c r="M6" s="18">
        <f>oil_price</f>
        <v/>
      </c>
    </row>
    <row r="7">
      <c r="B7" s="7" t="inlineStr">
        <is>
          <t>Gross Revenue (mmUSD)</t>
        </is>
      </c>
      <c r="C7" s="19">
        <f>C5*C6*365/1000</f>
        <v/>
      </c>
      <c r="D7" s="19">
        <f>D5*D6*365/1000</f>
        <v/>
      </c>
      <c r="E7" s="19">
        <f>E5*E6*365/1000</f>
        <v/>
      </c>
      <c r="F7" s="19">
        <f>F5*F6*365/1000</f>
        <v/>
      </c>
      <c r="G7" s="19">
        <f>G5*G6*365/1000</f>
        <v/>
      </c>
      <c r="H7" s="19">
        <f>H5*H6*365/1000</f>
        <v/>
      </c>
      <c r="I7" s="19">
        <f>I5*I6*365/1000</f>
        <v/>
      </c>
      <c r="J7" s="19">
        <f>J5*J6*365/1000</f>
        <v/>
      </c>
      <c r="K7" s="19">
        <f>K5*K6*365/1000</f>
        <v/>
      </c>
      <c r="L7" s="19">
        <f>L5*L6*365/1000</f>
        <v/>
      </c>
      <c r="M7" s="19">
        <f>M5*M6*365/1000</f>
        <v/>
      </c>
    </row>
    <row r="8">
      <c r="B8" s="7" t="inlineStr">
        <is>
          <t>Royalty (20%)</t>
        </is>
      </c>
      <c r="C8" s="19">
        <f>C7*royalty_oil</f>
        <v/>
      </c>
      <c r="D8" s="19">
        <f>D7*royalty_oil</f>
        <v/>
      </c>
      <c r="E8" s="19">
        <f>E7*royalty_oil</f>
        <v/>
      </c>
      <c r="F8" s="19">
        <f>F7*royalty_oil</f>
        <v/>
      </c>
      <c r="G8" s="19">
        <f>G7*royalty_oil</f>
        <v/>
      </c>
      <c r="H8" s="19">
        <f>H7*royalty_oil</f>
        <v/>
      </c>
      <c r="I8" s="19">
        <f>I7*royalty_oil</f>
        <v/>
      </c>
      <c r="J8" s="19">
        <f>J7*royalty_oil</f>
        <v/>
      </c>
      <c r="K8" s="19">
        <f>K7*royalty_oil</f>
        <v/>
      </c>
      <c r="L8" s="19">
        <f>L7*royalty_oil</f>
        <v/>
      </c>
      <c r="M8" s="19">
        <f>M7*royalty_oil</f>
        <v/>
      </c>
    </row>
    <row r="9">
      <c r="B9" s="7" t="inlineStr">
        <is>
          <t>Operator Net Revenue</t>
        </is>
      </c>
      <c r="C9" s="19">
        <f>C7-C8</f>
        <v/>
      </c>
      <c r="D9" s="19">
        <f>D7-D8</f>
        <v/>
      </c>
      <c r="E9" s="19">
        <f>E7-E8</f>
        <v/>
      </c>
      <c r="F9" s="19">
        <f>F7-F8</f>
        <v/>
      </c>
      <c r="G9" s="19">
        <f>G7-G8</f>
        <v/>
      </c>
      <c r="H9" s="19">
        <f>H7-H8</f>
        <v/>
      </c>
      <c r="I9" s="19">
        <f>I7-I8</f>
        <v/>
      </c>
      <c r="J9" s="19">
        <f>J7-J8</f>
        <v/>
      </c>
      <c r="K9" s="19">
        <f>K7-K8</f>
        <v/>
      </c>
      <c r="L9" s="19">
        <f>L7-L8</f>
        <v/>
      </c>
      <c r="M9" s="19">
        <f>M7-M8</f>
        <v/>
      </c>
    </row>
    <row r="10">
      <c r="B10" s="7" t="inlineStr">
        <is>
          <t>Operator EBITDA (40%)</t>
        </is>
      </c>
      <c r="C10" s="19">
        <f>C9*0.4</f>
        <v/>
      </c>
      <c r="D10" s="19">
        <f>D9*0.4</f>
        <v/>
      </c>
      <c r="E10" s="19">
        <f>E9*0.4</f>
        <v/>
      </c>
      <c r="F10" s="19">
        <f>F9*0.4</f>
        <v/>
      </c>
      <c r="G10" s="19">
        <f>G9*0.4</f>
        <v/>
      </c>
      <c r="H10" s="19">
        <f>H9*0.4</f>
        <v/>
      </c>
      <c r="I10" s="19">
        <f>I9*0.4</f>
        <v/>
      </c>
      <c r="J10" s="19">
        <f>J9*0.4</f>
        <v/>
      </c>
      <c r="K10" s="19">
        <f>K9*0.4</f>
        <v/>
      </c>
      <c r="L10" s="19">
        <f>L9*0.4</f>
        <v/>
      </c>
      <c r="M10" s="19">
        <f>M9*0.4</f>
        <v/>
      </c>
    </row>
    <row r="11">
      <c r="B11" s="7" t="inlineStr">
        <is>
          <t>CIT (régimen Y11+)</t>
        </is>
      </c>
      <c r="C11" s="19">
        <f>C10*0</f>
        <v/>
      </c>
      <c r="D11" s="19">
        <f>D10*0</f>
        <v/>
      </c>
      <c r="E11" s="19">
        <f>E10*0</f>
        <v/>
      </c>
      <c r="F11" s="19">
        <f>F10*0</f>
        <v/>
      </c>
      <c r="G11" s="19">
        <f>G10*0</f>
        <v/>
      </c>
      <c r="H11" s="19">
        <f>H10*0</f>
        <v/>
      </c>
      <c r="I11" s="19">
        <f>I10*0</f>
        <v/>
      </c>
      <c r="J11" s="19">
        <f>J10*0</f>
        <v/>
      </c>
      <c r="K11" s="19">
        <f>K10*0</f>
        <v/>
      </c>
      <c r="L11" s="19">
        <f>L10*0</f>
        <v/>
      </c>
      <c r="M11" s="19">
        <f>M10*0</f>
        <v/>
      </c>
    </row>
    <row r="12">
      <c r="B12" s="7" t="inlineStr">
        <is>
          <t>Government Take Total</t>
        </is>
      </c>
      <c r="C12" s="20">
        <f>C8+C11</f>
        <v/>
      </c>
      <c r="D12" s="20">
        <f>D8+D11</f>
        <v/>
      </c>
      <c r="E12" s="20">
        <f>E8+E11</f>
        <v/>
      </c>
      <c r="F12" s="20">
        <f>F8+F11</f>
        <v/>
      </c>
      <c r="G12" s="20">
        <f>G8+G11</f>
        <v/>
      </c>
      <c r="H12" s="20">
        <f>H8+H11</f>
        <v/>
      </c>
      <c r="I12" s="20">
        <f>I8+I11</f>
        <v/>
      </c>
      <c r="J12" s="20">
        <f>J8+J11</f>
        <v/>
      </c>
      <c r="K12" s="20">
        <f>K8+K11</f>
        <v/>
      </c>
      <c r="L12" s="20">
        <f>L8+L11</f>
        <v/>
      </c>
      <c r="M12" s="20">
        <f>M8+M11</f>
        <v/>
      </c>
    </row>
    <row r="14">
      <c r="B14" s="7" t="inlineStr">
        <is>
          <t>TOTAL Y0-Y10 Government Oil Revenue</t>
        </is>
      </c>
      <c r="C14" s="20">
        <f>SUM(C12:M12)</f>
        <v/>
      </c>
      <c r="D14" s="21" t="n"/>
      <c r="E14" s="21" t="n"/>
      <c r="F14" s="21" t="n"/>
      <c r="G14" s="21" t="n"/>
      <c r="H14" s="21" t="n"/>
      <c r="I14" s="21" t="n"/>
      <c r="J14" s="21" t="n"/>
      <c r="K14" s="21" t="n"/>
      <c r="L14" s="21" t="n"/>
      <c r="M14" s="22" t="n"/>
    </row>
  </sheetData>
  <mergeCells count="2">
    <mergeCell ref="B2:M2"/>
    <mergeCell ref="C14:M1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H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  <col width="18" customWidth="1" min="8" max="8"/>
  </cols>
  <sheetData>
    <row r="2" ht="24" customHeight="1">
      <c r="B2" s="6" t="inlineStr">
        <is>
          <t>MINING REVENUE MODEL — Y5 baseline (mmUSD/año)</t>
        </is>
      </c>
    </row>
    <row r="4" ht="30" customHeight="1">
      <c r="B4" s="6" t="inlineStr">
        <is>
          <t>Commodity</t>
        </is>
      </c>
      <c r="C4" s="6" t="inlineStr">
        <is>
          <t>Producción Y5</t>
        </is>
      </c>
      <c r="D4" s="6" t="inlineStr">
        <is>
          <t>Unidad</t>
        </is>
      </c>
      <c r="E4" s="6" t="inlineStr">
        <is>
          <t>Precio Y5 ($/u)</t>
        </is>
      </c>
      <c r="F4" s="6" t="inlineStr">
        <is>
          <t>Gross Revenue (mmUSD)</t>
        </is>
      </c>
      <c r="G4" s="6" t="inlineStr">
        <is>
          <t>Royalty Gov (mmUSD)</t>
        </is>
      </c>
      <c r="H4" s="6" t="inlineStr">
        <is>
          <t>CIT Gov (mmUSD)</t>
        </is>
      </c>
    </row>
    <row r="5">
      <c r="B5" s="7" t="inlineStr">
        <is>
          <t>Hierro mineral</t>
        </is>
      </c>
      <c r="C5" s="23" t="n">
        <v>22</v>
      </c>
      <c r="D5" s="24" t="inlineStr">
        <is>
          <t>Mt</t>
        </is>
      </c>
      <c r="E5" s="25" t="n">
        <v>110</v>
      </c>
      <c r="F5" s="19">
        <f>C5*E5</f>
        <v/>
      </c>
      <c r="G5" s="19">
        <f>F5*royalty_mining</f>
        <v/>
      </c>
      <c r="H5" s="19">
        <f>F5*0.30*cit_rate</f>
        <v/>
      </c>
    </row>
    <row r="6">
      <c r="B6" s="7" t="inlineStr">
        <is>
          <t>Bauxita</t>
        </is>
      </c>
      <c r="C6" s="23" t="n">
        <v>5</v>
      </c>
      <c r="D6" s="24" t="inlineStr">
        <is>
          <t>Mt</t>
        </is>
      </c>
      <c r="E6" s="25" t="n">
        <v>60</v>
      </c>
      <c r="F6" s="19">
        <f>C6*E6</f>
        <v/>
      </c>
      <c r="G6" s="19">
        <f>F6*royalty_mining</f>
        <v/>
      </c>
      <c r="H6" s="19">
        <f>F6*0.30*cit_rate</f>
        <v/>
      </c>
    </row>
    <row r="7">
      <c r="B7" s="7" t="inlineStr">
        <is>
          <t>Aluminio primario</t>
        </is>
      </c>
      <c r="C7" s="23" t="n">
        <v>0.4</v>
      </c>
      <c r="D7" s="24" t="inlineStr">
        <is>
          <t>Mt</t>
        </is>
      </c>
      <c r="E7" s="25" t="n">
        <v>2500</v>
      </c>
      <c r="F7" s="19">
        <f>C7*E7</f>
        <v/>
      </c>
      <c r="G7" s="19">
        <f>F7*royalty_mining</f>
        <v/>
      </c>
      <c r="H7" s="19">
        <f>F7*0.30*cit_rate</f>
        <v/>
      </c>
    </row>
    <row r="8">
      <c r="B8" s="7" t="inlineStr">
        <is>
          <t>Acero (Sidor)</t>
        </is>
      </c>
      <c r="C8" s="23" t="n">
        <v>1.5</v>
      </c>
      <c r="D8" s="24" t="inlineStr">
        <is>
          <t>Mt</t>
        </is>
      </c>
      <c r="E8" s="25" t="n">
        <v>700</v>
      </c>
      <c r="F8" s="19">
        <f>C8*E8</f>
        <v/>
      </c>
      <c r="G8" s="19">
        <f>F8*royalty_mining</f>
        <v/>
      </c>
      <c r="H8" s="19">
        <f>F8*0.30*cit_rate</f>
        <v/>
      </c>
    </row>
    <row r="9">
      <c r="B9" s="7" t="inlineStr">
        <is>
          <t>Oro formal</t>
        </is>
      </c>
      <c r="C9" s="23" t="n">
        <v>28</v>
      </c>
      <c r="D9" s="24" t="inlineStr">
        <is>
          <t>toneladas</t>
        </is>
      </c>
      <c r="E9" s="25" t="n">
        <v>80</v>
      </c>
      <c r="F9" s="19">
        <f>C9*E9</f>
        <v/>
      </c>
      <c r="G9" s="19">
        <f>F9*royalty_mining</f>
        <v/>
      </c>
      <c r="H9" s="19">
        <f>F9*0.30*cit_rate</f>
        <v/>
      </c>
    </row>
    <row r="10">
      <c r="B10" s="7" t="inlineStr">
        <is>
          <t>Coltán (Ta2O5)</t>
        </is>
      </c>
      <c r="C10" s="23" t="n">
        <v>400</v>
      </c>
      <c r="D10" s="24" t="inlineStr">
        <is>
          <t>toneladas</t>
        </is>
      </c>
      <c r="E10" s="25" t="n">
        <v>250</v>
      </c>
      <c r="F10" s="19">
        <f>C10*E10/1000</f>
        <v/>
      </c>
      <c r="G10" s="19">
        <f>F10*royalty_mining</f>
        <v/>
      </c>
      <c r="H10" s="19">
        <f>F10*0.30*cit_rate</f>
        <v/>
      </c>
    </row>
    <row r="11">
      <c r="B11" s="7" t="inlineStr">
        <is>
          <t>Niobio</t>
        </is>
      </c>
      <c r="C11" s="23" t="n">
        <v>800</v>
      </c>
      <c r="D11" s="24" t="inlineStr">
        <is>
          <t>toneladas</t>
        </is>
      </c>
      <c r="E11" s="25" t="n">
        <v>50</v>
      </c>
      <c r="F11" s="19">
        <f>C11*E11/1000</f>
        <v/>
      </c>
      <c r="G11" s="19">
        <f>F11*royalty_mining</f>
        <v/>
      </c>
      <c r="H11" s="19">
        <f>F11*0.30*cit_rate</f>
        <v/>
      </c>
    </row>
    <row r="13">
      <c r="B13" s="7" t="inlineStr">
        <is>
          <t>TOTAL MINING</t>
        </is>
      </c>
      <c r="F13" s="20">
        <f>SUM(F5:F11)</f>
        <v/>
      </c>
      <c r="G13" s="20">
        <f>SUM(G5:G11)</f>
        <v/>
      </c>
      <c r="H13" s="20">
        <f>SUM(H5:H11)</f>
        <v/>
      </c>
    </row>
  </sheetData>
  <mergeCells count="1">
    <mergeCell ref="B2:H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J4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8" customWidth="1" min="3" max="3"/>
    <col width="12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2">
      <c r="B2" s="6" t="inlineStr">
        <is>
          <t>PRIVATIZATION PROGRAM — 40 IPOs (Y1–Y5)</t>
        </is>
      </c>
    </row>
    <row r="4" ht="36" customHeight="1">
      <c r="B4" s="6" t="inlineStr">
        <is>
          <t>Empresa</t>
        </is>
      </c>
      <c r="C4" s="6" t="inlineStr">
        <is>
          <t>Sector</t>
        </is>
      </c>
      <c r="D4" s="6" t="inlineStr">
        <is>
          <t>Equity %</t>
        </is>
      </c>
      <c r="E4" s="6" t="inlineStr">
        <is>
          <t>Book Value (mmUSD)</t>
        </is>
      </c>
      <c r="F4" s="6" t="inlineStr">
        <is>
          <t>Reserve Price (mmUSD)</t>
        </is>
      </c>
      <c r="G4" s="6" t="inlineStr">
        <is>
          <t>Target Valuation Y5 (mmUSD)</t>
        </is>
      </c>
      <c r="H4" s="6" t="inlineStr">
        <is>
          <t>Proceeds Bear (mmUSD)</t>
        </is>
      </c>
      <c r="I4" s="6" t="inlineStr">
        <is>
          <t>Proceeds Base (mmUSD)</t>
        </is>
      </c>
      <c r="J4" s="6" t="inlineStr">
        <is>
          <t>Proceeds Bull (mmUSD)</t>
        </is>
      </c>
    </row>
    <row r="5">
      <c r="B5" s="7" t="inlineStr">
        <is>
          <t>Sidor</t>
        </is>
      </c>
      <c r="C5" s="10" t="inlineStr">
        <is>
          <t>Acero</t>
        </is>
      </c>
      <c r="D5" s="11" t="n">
        <v>0.49</v>
      </c>
      <c r="E5" s="26" t="n">
        <v>3200</v>
      </c>
      <c r="F5" s="26" t="n">
        <v>1800</v>
      </c>
      <c r="G5" s="26" t="n">
        <v>4500</v>
      </c>
      <c r="H5" s="19">
        <f>D5*G5*(1+scen_bear)*(1-priv_discount)</f>
        <v/>
      </c>
      <c r="I5" s="19">
        <f>D5*G5*(1-priv_discount)</f>
        <v/>
      </c>
      <c r="J5" s="19">
        <f>D5*G5*(1+scen_bull)*(1-priv_discount)</f>
        <v/>
      </c>
    </row>
    <row r="6">
      <c r="B6" s="7" t="inlineStr">
        <is>
          <t>Venalum</t>
        </is>
      </c>
      <c r="C6" s="10" t="inlineStr">
        <is>
          <t>Aluminio</t>
        </is>
      </c>
      <c r="D6" s="11" t="n">
        <v>0.49</v>
      </c>
      <c r="E6" s="26" t="n">
        <v>1200</v>
      </c>
      <c r="F6" s="26" t="n">
        <v>700</v>
      </c>
      <c r="G6" s="26" t="n">
        <v>2100</v>
      </c>
      <c r="H6" s="19">
        <f>D6*G6*(1+scen_bear)*(1-priv_discount)</f>
        <v/>
      </c>
      <c r="I6" s="19">
        <f>D6*G6*(1-priv_discount)</f>
        <v/>
      </c>
      <c r="J6" s="19">
        <f>D6*G6*(1+scen_bull)*(1-priv_discount)</f>
        <v/>
      </c>
    </row>
    <row r="7">
      <c r="B7" s="7" t="inlineStr">
        <is>
          <t>Alcasa</t>
        </is>
      </c>
      <c r="C7" s="10" t="inlineStr">
        <is>
          <t>Aluminio</t>
        </is>
      </c>
      <c r="D7" s="11" t="n">
        <v>0.51</v>
      </c>
      <c r="E7" s="26" t="n">
        <v>600</v>
      </c>
      <c r="F7" s="26" t="n">
        <v>350</v>
      </c>
      <c r="G7" s="26" t="n">
        <v>1100</v>
      </c>
      <c r="H7" s="19">
        <f>D7*G7*(1+scen_bear)*(1-priv_discount)</f>
        <v/>
      </c>
      <c r="I7" s="19">
        <f>D7*G7*(1-priv_discount)</f>
        <v/>
      </c>
      <c r="J7" s="19">
        <f>D7*G7*(1+scen_bull)*(1-priv_discount)</f>
        <v/>
      </c>
    </row>
    <row r="8">
      <c r="B8" s="7" t="inlineStr">
        <is>
          <t>Bauxilum</t>
        </is>
      </c>
      <c r="C8" s="10" t="inlineStr">
        <is>
          <t>Bauxita</t>
        </is>
      </c>
      <c r="D8" s="11" t="n">
        <v>0.51</v>
      </c>
      <c r="E8" s="26" t="n">
        <v>480</v>
      </c>
      <c r="F8" s="26" t="n">
        <v>280</v>
      </c>
      <c r="G8" s="26" t="n">
        <v>900</v>
      </c>
      <c r="H8" s="19">
        <f>D8*G8*(1+scen_bear)*(1-priv_discount)</f>
        <v/>
      </c>
      <c r="I8" s="19">
        <f>D8*G8*(1-priv_discount)</f>
        <v/>
      </c>
      <c r="J8" s="19">
        <f>D8*G8*(1+scen_bull)*(1-priv_discount)</f>
        <v/>
      </c>
    </row>
    <row r="9">
      <c r="B9" s="7" t="inlineStr">
        <is>
          <t>Ferrominera Orinoco</t>
        </is>
      </c>
      <c r="C9" s="10" t="inlineStr">
        <is>
          <t>Hierro</t>
        </is>
      </c>
      <c r="D9" s="11" t="n">
        <v>0.4</v>
      </c>
      <c r="E9" s="26" t="n">
        <v>2800</v>
      </c>
      <c r="F9" s="26" t="n">
        <v>1600</v>
      </c>
      <c r="G9" s="26" t="n">
        <v>4200</v>
      </c>
      <c r="H9" s="19">
        <f>D9*G9*(1+scen_bear)*(1-priv_discount)</f>
        <v/>
      </c>
      <c r="I9" s="19">
        <f>D9*G9*(1-priv_discount)</f>
        <v/>
      </c>
      <c r="J9" s="19">
        <f>D9*G9*(1+scen_bull)*(1-priv_discount)</f>
        <v/>
      </c>
    </row>
    <row r="10">
      <c r="B10" s="7" t="inlineStr">
        <is>
          <t>Briqueteras CVG</t>
        </is>
      </c>
      <c r="C10" s="10" t="inlineStr">
        <is>
          <t>DRI/HBI</t>
        </is>
      </c>
      <c r="D10" s="11" t="n">
        <v>0.51</v>
      </c>
      <c r="E10" s="26" t="n">
        <v>800</v>
      </c>
      <c r="F10" s="26" t="n">
        <v>450</v>
      </c>
      <c r="G10" s="26" t="n">
        <v>1400</v>
      </c>
      <c r="H10" s="19">
        <f>D10*G10*(1+scen_bear)*(1-priv_discount)</f>
        <v/>
      </c>
      <c r="I10" s="19">
        <f>D10*G10*(1-priv_discount)</f>
        <v/>
      </c>
      <c r="J10" s="19">
        <f>D10*G10*(1+scen_bull)*(1-priv_discount)</f>
        <v/>
      </c>
    </row>
    <row r="11">
      <c r="B11" s="7" t="inlineStr">
        <is>
          <t>Pequiven</t>
        </is>
      </c>
      <c r="C11" s="10" t="inlineStr">
        <is>
          <t>Petroquímica</t>
        </is>
      </c>
      <c r="D11" s="11" t="n">
        <v>0.4</v>
      </c>
      <c r="E11" s="26" t="n">
        <v>2400</v>
      </c>
      <c r="F11" s="26" t="n">
        <v>1300</v>
      </c>
      <c r="G11" s="26" t="n">
        <v>3600</v>
      </c>
      <c r="H11" s="19">
        <f>D11*G11*(1+scen_bear)*(1-priv_discount)</f>
        <v/>
      </c>
      <c r="I11" s="19">
        <f>D11*G11*(1-priv_discount)</f>
        <v/>
      </c>
      <c r="J11" s="19">
        <f>D11*G11*(1+scen_bull)*(1-priv_discount)</f>
        <v/>
      </c>
    </row>
    <row r="12">
      <c r="B12" s="7" t="inlineStr">
        <is>
          <t>CANTV</t>
        </is>
      </c>
      <c r="C12" s="10" t="inlineStr">
        <is>
          <t>Telecom</t>
        </is>
      </c>
      <c r="D12" s="11" t="n">
        <v>0.51</v>
      </c>
      <c r="E12" s="26" t="n">
        <v>1800</v>
      </c>
      <c r="F12" s="26" t="n">
        <v>1100</v>
      </c>
      <c r="G12" s="26" t="n">
        <v>3200</v>
      </c>
      <c r="H12" s="19">
        <f>D12*G12*(1+scen_bear)*(1-priv_discount)</f>
        <v/>
      </c>
      <c r="I12" s="19">
        <f>D12*G12*(1-priv_discount)</f>
        <v/>
      </c>
      <c r="J12" s="19">
        <f>D12*G12*(1+scen_bull)*(1-priv_discount)</f>
        <v/>
      </c>
    </row>
    <row r="13">
      <c r="B13" s="7" t="inlineStr">
        <is>
          <t>Movilnet</t>
        </is>
      </c>
      <c r="C13" s="10" t="inlineStr">
        <is>
          <t>Telecom móvil</t>
        </is>
      </c>
      <c r="D13" s="11" t="n">
        <v>0.51</v>
      </c>
      <c r="E13" s="26" t="n">
        <v>900</v>
      </c>
      <c r="F13" s="26" t="n">
        <v>550</v>
      </c>
      <c r="G13" s="26" t="n">
        <v>1800</v>
      </c>
      <c r="H13" s="19">
        <f>D13*G13*(1+scen_bear)*(1-priv_discount)</f>
        <v/>
      </c>
      <c r="I13" s="19">
        <f>D13*G13*(1-priv_discount)</f>
        <v/>
      </c>
      <c r="J13" s="19">
        <f>D13*G13*(1+scen_bull)*(1-priv_discount)</f>
        <v/>
      </c>
    </row>
    <row r="14">
      <c r="B14" s="7" t="inlineStr">
        <is>
          <t>Banco de Venezuela</t>
        </is>
      </c>
      <c r="C14" s="10" t="inlineStr">
        <is>
          <t>Banca</t>
        </is>
      </c>
      <c r="D14" s="11" t="n">
        <v>0.51</v>
      </c>
      <c r="E14" s="26" t="n">
        <v>1600</v>
      </c>
      <c r="F14" s="26" t="n">
        <v>900</v>
      </c>
      <c r="G14" s="26" t="n">
        <v>2400</v>
      </c>
      <c r="H14" s="19">
        <f>D14*G14*(1+scen_bear)*(1-priv_discount)</f>
        <v/>
      </c>
      <c r="I14" s="19">
        <f>D14*G14*(1-priv_discount)</f>
        <v/>
      </c>
      <c r="J14" s="19">
        <f>D14*G14*(1+scen_bull)*(1-priv_discount)</f>
        <v/>
      </c>
    </row>
    <row r="15">
      <c r="B15" s="7" t="inlineStr">
        <is>
          <t>Banco del Tesoro</t>
        </is>
      </c>
      <c r="C15" s="10" t="inlineStr">
        <is>
          <t>Banca</t>
        </is>
      </c>
      <c r="D15" s="11" t="n">
        <v>0.51</v>
      </c>
      <c r="E15" s="26" t="n">
        <v>600</v>
      </c>
      <c r="F15" s="26" t="n">
        <v>350</v>
      </c>
      <c r="G15" s="26" t="n">
        <v>950</v>
      </c>
      <c r="H15" s="19">
        <f>D15*G15*(1+scen_bear)*(1-priv_discount)</f>
        <v/>
      </c>
      <c r="I15" s="19">
        <f>D15*G15*(1-priv_discount)</f>
        <v/>
      </c>
      <c r="J15" s="19">
        <f>D15*G15*(1+scen_bull)*(1-priv_discount)</f>
        <v/>
      </c>
    </row>
    <row r="16">
      <c r="B16" s="7" t="inlineStr">
        <is>
          <t>Banco Bicentenario</t>
        </is>
      </c>
      <c r="C16" s="10" t="inlineStr">
        <is>
          <t>Banca</t>
        </is>
      </c>
      <c r="D16" s="11" t="n">
        <v>0.51</v>
      </c>
      <c r="E16" s="26" t="n">
        <v>700</v>
      </c>
      <c r="F16" s="26" t="n">
        <v>420</v>
      </c>
      <c r="G16" s="26" t="n">
        <v>1100</v>
      </c>
      <c r="H16" s="19">
        <f>D16*G16*(1+scen_bear)*(1-priv_discount)</f>
        <v/>
      </c>
      <c r="I16" s="19">
        <f>D16*G16*(1-priv_discount)</f>
        <v/>
      </c>
      <c r="J16" s="19">
        <f>D16*G16*(1+scen_bull)*(1-priv_discount)</f>
        <v/>
      </c>
    </row>
    <row r="17">
      <c r="B17" s="7" t="inlineStr">
        <is>
          <t>Bansoc + Banco Agrícola</t>
        </is>
      </c>
      <c r="C17" s="10" t="inlineStr">
        <is>
          <t>Banca</t>
        </is>
      </c>
      <c r="D17" s="11" t="n">
        <v>0.51</v>
      </c>
      <c r="E17" s="26" t="n">
        <v>450</v>
      </c>
      <c r="F17" s="26" t="n">
        <v>280</v>
      </c>
      <c r="G17" s="26" t="n">
        <v>700</v>
      </c>
      <c r="H17" s="19">
        <f>D17*G17*(1+scen_bear)*(1-priv_discount)</f>
        <v/>
      </c>
      <c r="I17" s="19">
        <f>D17*G17*(1-priv_discount)</f>
        <v/>
      </c>
      <c r="J17" s="19">
        <f>D17*G17*(1+scen_bull)*(1-priv_discount)</f>
        <v/>
      </c>
    </row>
    <row r="18">
      <c r="B18" s="7" t="inlineStr">
        <is>
          <t>Corpoelec Gen. Térmica</t>
        </is>
      </c>
      <c r="C18" s="10" t="inlineStr">
        <is>
          <t>Eléctrico (gen)</t>
        </is>
      </c>
      <c r="D18" s="11" t="n">
        <v>0.49</v>
      </c>
      <c r="E18" s="26" t="n">
        <v>2200</v>
      </c>
      <c r="F18" s="26" t="n">
        <v>1300</v>
      </c>
      <c r="G18" s="26" t="n">
        <v>3500</v>
      </c>
      <c r="H18" s="19">
        <f>D18*G18*(1+scen_bear)*(1-priv_discount)</f>
        <v/>
      </c>
      <c r="I18" s="19">
        <f>D18*G18*(1-priv_discount)</f>
        <v/>
      </c>
      <c r="J18" s="19">
        <f>D18*G18*(1+scen_bull)*(1-priv_discount)</f>
        <v/>
      </c>
    </row>
    <row r="19">
      <c r="B19" s="7" t="inlineStr">
        <is>
          <t>Corpoelec Distribución (3 GenCos)</t>
        </is>
      </c>
      <c r="C19" s="10" t="inlineStr">
        <is>
          <t>Eléctrico (dist)</t>
        </is>
      </c>
      <c r="D19" s="11" t="n">
        <v>0.49</v>
      </c>
      <c r="E19" s="26" t="n">
        <v>3600</v>
      </c>
      <c r="F19" s="26" t="n">
        <v>2100</v>
      </c>
      <c r="G19" s="26" t="n">
        <v>5800</v>
      </c>
      <c r="H19" s="19">
        <f>D19*G19*(1+scen_bear)*(1-priv_discount)</f>
        <v/>
      </c>
      <c r="I19" s="19">
        <f>D19*G19*(1-priv_discount)</f>
        <v/>
      </c>
      <c r="J19" s="19">
        <f>D19*G19*(1+scen_bull)*(1-priv_discount)</f>
        <v/>
      </c>
    </row>
    <row r="20">
      <c r="B20" s="7" t="inlineStr">
        <is>
          <t>Bloque Junín Faja (mixto)</t>
        </is>
      </c>
      <c r="C20" s="10" t="inlineStr">
        <is>
          <t>Petróleo Faja</t>
        </is>
      </c>
      <c r="D20" s="11" t="n">
        <v>0.3</v>
      </c>
      <c r="E20" s="26" t="n">
        <v>8000</v>
      </c>
      <c r="F20" s="26" t="n">
        <v>4500</v>
      </c>
      <c r="G20" s="26" t="n">
        <v>14000</v>
      </c>
      <c r="H20" s="19">
        <f>D20*G20*(1+scen_bear)*(1-priv_discount)</f>
        <v/>
      </c>
      <c r="I20" s="19">
        <f>D20*G20*(1-priv_discount)</f>
        <v/>
      </c>
      <c r="J20" s="19">
        <f>D20*G20*(1+scen_bull)*(1-priv_discount)</f>
        <v/>
      </c>
    </row>
    <row r="21">
      <c r="B21" s="7" t="inlineStr">
        <is>
          <t>Bloque Carabobo Faja</t>
        </is>
      </c>
      <c r="C21" s="10" t="inlineStr">
        <is>
          <t>Petróleo Faja</t>
        </is>
      </c>
      <c r="D21" s="11" t="n">
        <v>0.3</v>
      </c>
      <c r="E21" s="26" t="n">
        <v>7000</v>
      </c>
      <c r="F21" s="26" t="n">
        <v>4000</v>
      </c>
      <c r="G21" s="26" t="n">
        <v>12000</v>
      </c>
      <c r="H21" s="19">
        <f>D21*G21*(1+scen_bear)*(1-priv_discount)</f>
        <v/>
      </c>
      <c r="I21" s="19">
        <f>D21*G21*(1-priv_discount)</f>
        <v/>
      </c>
      <c r="J21" s="19">
        <f>D21*G21*(1+scen_bull)*(1-priv_discount)</f>
        <v/>
      </c>
    </row>
    <row r="22">
      <c r="B22" s="7" t="inlineStr">
        <is>
          <t>Bloque Boyacá Faja</t>
        </is>
      </c>
      <c r="C22" s="10" t="inlineStr">
        <is>
          <t>Petróleo Faja</t>
        </is>
      </c>
      <c r="D22" s="11" t="n">
        <v>0.3</v>
      </c>
      <c r="E22" s="26" t="n">
        <v>5500</v>
      </c>
      <c r="F22" s="26" t="n">
        <v>3200</v>
      </c>
      <c r="G22" s="26" t="n">
        <v>10000</v>
      </c>
      <c r="H22" s="19">
        <f>D22*G22*(1+scen_bear)*(1-priv_discount)</f>
        <v/>
      </c>
      <c r="I22" s="19">
        <f>D22*G22*(1-priv_discount)</f>
        <v/>
      </c>
      <c r="J22" s="19">
        <f>D22*G22*(1+scen_bull)*(1-priv_discount)</f>
        <v/>
      </c>
    </row>
    <row r="23">
      <c r="B23" s="7" t="inlineStr">
        <is>
          <t>CRP — Refinería Cardón</t>
        </is>
      </c>
      <c r="C23" s="10" t="inlineStr">
        <is>
          <t>Refinación</t>
        </is>
      </c>
      <c r="D23" s="11" t="n">
        <v>0.4</v>
      </c>
      <c r="E23" s="26" t="n">
        <v>2800</v>
      </c>
      <c r="F23" s="26" t="n">
        <v>1600</v>
      </c>
      <c r="G23" s="26" t="n">
        <v>4500</v>
      </c>
      <c r="H23" s="19">
        <f>D23*G23*(1+scen_bear)*(1-priv_discount)</f>
        <v/>
      </c>
      <c r="I23" s="19">
        <f>D23*G23*(1-priv_discount)</f>
        <v/>
      </c>
      <c r="J23" s="19">
        <f>D23*G23*(1+scen_bull)*(1-priv_discount)</f>
        <v/>
      </c>
    </row>
    <row r="24">
      <c r="B24" s="7" t="inlineStr">
        <is>
          <t>Amuay — Refinería</t>
        </is>
      </c>
      <c r="C24" s="10" t="inlineStr">
        <is>
          <t>Refinación</t>
        </is>
      </c>
      <c r="D24" s="11" t="n">
        <v>0.4</v>
      </c>
      <c r="E24" s="26" t="n">
        <v>3200</v>
      </c>
      <c r="F24" s="26" t="n">
        <v>1800</v>
      </c>
      <c r="G24" s="26" t="n">
        <v>5200</v>
      </c>
      <c r="H24" s="19">
        <f>D24*G24*(1+scen_bear)*(1-priv_discount)</f>
        <v/>
      </c>
      <c r="I24" s="19">
        <f>D24*G24*(1-priv_discount)</f>
        <v/>
      </c>
      <c r="J24" s="19">
        <f>D24*G24*(1+scen_bull)*(1-priv_discount)</f>
        <v/>
      </c>
    </row>
    <row r="25">
      <c r="B25" s="7" t="inlineStr">
        <is>
          <t>El Palito</t>
        </is>
      </c>
      <c r="C25" s="10" t="inlineStr">
        <is>
          <t>Refinación</t>
        </is>
      </c>
      <c r="D25" s="11" t="n">
        <v>0.4</v>
      </c>
      <c r="E25" s="26" t="n">
        <v>1100</v>
      </c>
      <c r="F25" s="26" t="n">
        <v>650</v>
      </c>
      <c r="G25" s="26" t="n">
        <v>1900</v>
      </c>
      <c r="H25" s="19">
        <f>D25*G25*(1+scen_bear)*(1-priv_discount)</f>
        <v/>
      </c>
      <c r="I25" s="19">
        <f>D25*G25*(1-priv_discount)</f>
        <v/>
      </c>
      <c r="J25" s="19">
        <f>D25*G25*(1+scen_bull)*(1-priv_discount)</f>
        <v/>
      </c>
    </row>
    <row r="26">
      <c r="B26" s="7" t="inlineStr">
        <is>
          <t>PDVSA Marina (terminales)</t>
        </is>
      </c>
      <c r="C26" s="10" t="inlineStr">
        <is>
          <t>Logística petrolera</t>
        </is>
      </c>
      <c r="D26" s="11" t="n">
        <v>0.49</v>
      </c>
      <c r="E26" s="26" t="n">
        <v>1500</v>
      </c>
      <c r="F26" s="26" t="n">
        <v>850</v>
      </c>
      <c r="G26" s="26" t="n">
        <v>2400</v>
      </c>
      <c r="H26" s="19">
        <f>D26*G26*(1+scen_bear)*(1-priv_discount)</f>
        <v/>
      </c>
      <c r="I26" s="19">
        <f>D26*G26*(1-priv_discount)</f>
        <v/>
      </c>
      <c r="J26" s="19">
        <f>D26*G26*(1+scen_bull)*(1-priv_discount)</f>
        <v/>
      </c>
    </row>
    <row r="27">
      <c r="B27" s="7" t="inlineStr">
        <is>
          <t>Bariven</t>
        </is>
      </c>
      <c r="C27" s="10" t="inlineStr">
        <is>
          <t>Procurement</t>
        </is>
      </c>
      <c r="D27" s="11" t="n">
        <v>0.51</v>
      </c>
      <c r="E27" s="26" t="n">
        <v>600</v>
      </c>
      <c r="F27" s="26" t="n">
        <v>320</v>
      </c>
      <c r="G27" s="26" t="n">
        <v>900</v>
      </c>
      <c r="H27" s="19">
        <f>D27*G27*(1+scen_bear)*(1-priv_discount)</f>
        <v/>
      </c>
      <c r="I27" s="19">
        <f>D27*G27*(1-priv_discount)</f>
        <v/>
      </c>
      <c r="J27" s="19">
        <f>D27*G27*(1+scen_bull)*(1-priv_discount)</f>
        <v/>
      </c>
    </row>
    <row r="28">
      <c r="B28" s="7" t="inlineStr">
        <is>
          <t>Aerocaribe + LASER + Conviasa</t>
        </is>
      </c>
      <c r="C28" s="10" t="inlineStr">
        <is>
          <t>Aviación</t>
        </is>
      </c>
      <c r="D28" s="11" t="n">
        <v>0.51</v>
      </c>
      <c r="E28" s="26" t="n">
        <v>480</v>
      </c>
      <c r="F28" s="26" t="n">
        <v>250</v>
      </c>
      <c r="G28" s="26" t="n">
        <v>700</v>
      </c>
      <c r="H28" s="19">
        <f>D28*G28*(1+scen_bear)*(1-priv_discount)</f>
        <v/>
      </c>
      <c r="I28" s="19">
        <f>D28*G28*(1-priv_discount)</f>
        <v/>
      </c>
      <c r="J28" s="19">
        <f>D28*G28*(1+scen_bull)*(1-priv_discount)</f>
        <v/>
      </c>
    </row>
    <row r="29">
      <c r="B29" s="7" t="inlineStr">
        <is>
          <t>Cementos Andinos + Cemex VZ</t>
        </is>
      </c>
      <c r="C29" s="10" t="inlineStr">
        <is>
          <t>Cemento</t>
        </is>
      </c>
      <c r="D29" s="11" t="n">
        <v>0.51</v>
      </c>
      <c r="E29" s="26" t="n">
        <v>750</v>
      </c>
      <c r="F29" s="26" t="n">
        <v>420</v>
      </c>
      <c r="G29" s="26" t="n">
        <v>1200</v>
      </c>
      <c r="H29" s="19">
        <f>D29*G29*(1+scen_bear)*(1-priv_discount)</f>
        <v/>
      </c>
      <c r="I29" s="19">
        <f>D29*G29*(1-priv_discount)</f>
        <v/>
      </c>
      <c r="J29" s="19">
        <f>D29*G29*(1+scen_bull)*(1-priv_discount)</f>
        <v/>
      </c>
    </row>
    <row r="30">
      <c r="B30" s="7" t="inlineStr">
        <is>
          <t>Lácteos Los Andes</t>
        </is>
      </c>
      <c r="C30" s="10" t="inlineStr">
        <is>
          <t>Alimentos</t>
        </is>
      </c>
      <c r="D30" s="11" t="n">
        <v>0.51</v>
      </c>
      <c r="E30" s="26" t="n">
        <v>220</v>
      </c>
      <c r="F30" s="26" t="n">
        <v>130</v>
      </c>
      <c r="G30" s="26" t="n">
        <v>350</v>
      </c>
      <c r="H30" s="19">
        <f>D30*G30*(1+scen_bear)*(1-priv_discount)</f>
        <v/>
      </c>
      <c r="I30" s="19">
        <f>D30*G30*(1-priv_discount)</f>
        <v/>
      </c>
      <c r="J30" s="19">
        <f>D30*G30*(1+scen_bull)*(1-priv_discount)</f>
        <v/>
      </c>
    </row>
    <row r="31">
      <c r="B31" s="7" t="inlineStr">
        <is>
          <t>Cafés Madrid + Café Anzoátegui</t>
        </is>
      </c>
      <c r="C31" s="10" t="inlineStr">
        <is>
          <t>Alimentos</t>
        </is>
      </c>
      <c r="D31" s="11" t="n">
        <v>0.51</v>
      </c>
      <c r="E31" s="26" t="n">
        <v>180</v>
      </c>
      <c r="F31" s="26" t="n">
        <v>100</v>
      </c>
      <c r="G31" s="26" t="n">
        <v>280</v>
      </c>
      <c r="H31" s="19">
        <f>D31*G31*(1+scen_bear)*(1-priv_discount)</f>
        <v/>
      </c>
      <c r="I31" s="19">
        <f>D31*G31*(1-priv_discount)</f>
        <v/>
      </c>
      <c r="J31" s="19">
        <f>D31*G31*(1+scen_bull)*(1-priv_discount)</f>
        <v/>
      </c>
    </row>
    <row r="32">
      <c r="B32" s="7" t="inlineStr">
        <is>
          <t>Productora de Azúcar</t>
        </is>
      </c>
      <c r="C32" s="10" t="inlineStr">
        <is>
          <t>Alimentos</t>
        </is>
      </c>
      <c r="D32" s="11" t="n">
        <v>0.51</v>
      </c>
      <c r="E32" s="26" t="n">
        <v>240</v>
      </c>
      <c r="F32" s="26" t="n">
        <v>130</v>
      </c>
      <c r="G32" s="26" t="n">
        <v>380</v>
      </c>
      <c r="H32" s="19">
        <f>D32*G32*(1+scen_bear)*(1-priv_discount)</f>
        <v/>
      </c>
      <c r="I32" s="19">
        <f>D32*G32*(1-priv_discount)</f>
        <v/>
      </c>
      <c r="J32" s="19">
        <f>D32*G32*(1+scen_bull)*(1-priv_discount)</f>
        <v/>
      </c>
    </row>
    <row r="33">
      <c r="B33" s="7" t="inlineStr">
        <is>
          <t>Bolivariana de Puertos (3 puertos)</t>
        </is>
      </c>
      <c r="C33" s="10" t="inlineStr">
        <is>
          <t>Puertos</t>
        </is>
      </c>
      <c r="D33" s="11" t="n">
        <v>0.49</v>
      </c>
      <c r="E33" s="26" t="n">
        <v>850</v>
      </c>
      <c r="F33" s="26" t="n">
        <v>480</v>
      </c>
      <c r="G33" s="26" t="n">
        <v>1400</v>
      </c>
      <c r="H33" s="19">
        <f>D33*G33*(1+scen_bear)*(1-priv_discount)</f>
        <v/>
      </c>
      <c r="I33" s="19">
        <f>D33*G33*(1-priv_discount)</f>
        <v/>
      </c>
      <c r="J33" s="19">
        <f>D33*G33*(1+scen_bull)*(1-priv_discount)</f>
        <v/>
      </c>
    </row>
    <row r="34">
      <c r="B34" s="7" t="inlineStr">
        <is>
          <t>Bolivariana de Aeropuertos</t>
        </is>
      </c>
      <c r="C34" s="10" t="inlineStr">
        <is>
          <t>Aeropuertos</t>
        </is>
      </c>
      <c r="D34" s="11" t="n">
        <v>0.49</v>
      </c>
      <c r="E34" s="26" t="n">
        <v>480</v>
      </c>
      <c r="F34" s="26" t="n">
        <v>280</v>
      </c>
      <c r="G34" s="26" t="n">
        <v>750</v>
      </c>
      <c r="H34" s="19">
        <f>D34*G34*(1+scen_bear)*(1-priv_discount)</f>
        <v/>
      </c>
      <c r="I34" s="19">
        <f>D34*G34*(1-priv_discount)</f>
        <v/>
      </c>
      <c r="J34" s="19">
        <f>D34*G34*(1+scen_bull)*(1-priv_discount)</f>
        <v/>
      </c>
    </row>
    <row r="35">
      <c r="B35" s="7" t="inlineStr">
        <is>
          <t>Hidrocapital + Hidrolago</t>
        </is>
      </c>
      <c r="C35" s="10" t="inlineStr">
        <is>
          <t>Agua</t>
        </is>
      </c>
      <c r="D35" s="11" t="n">
        <v>0.4</v>
      </c>
      <c r="E35" s="26" t="n">
        <v>600</v>
      </c>
      <c r="F35" s="26" t="n">
        <v>320</v>
      </c>
      <c r="G35" s="26" t="n">
        <v>950</v>
      </c>
      <c r="H35" s="19">
        <f>D35*G35*(1+scen_bear)*(1-priv_discount)</f>
        <v/>
      </c>
      <c r="I35" s="19">
        <f>D35*G35*(1-priv_discount)</f>
        <v/>
      </c>
      <c r="J35" s="19">
        <f>D35*G35*(1+scen_bull)*(1-priv_discount)</f>
        <v/>
      </c>
    </row>
    <row r="36">
      <c r="B36" s="7" t="inlineStr">
        <is>
          <t>Bolívar Coastal Terminal</t>
        </is>
      </c>
      <c r="C36" s="10" t="inlineStr">
        <is>
          <t>Logística</t>
        </is>
      </c>
      <c r="D36" s="11" t="n">
        <v>0.49</v>
      </c>
      <c r="E36" s="26" t="n">
        <v>380</v>
      </c>
      <c r="F36" s="26" t="n">
        <v>220</v>
      </c>
      <c r="G36" s="26" t="n">
        <v>600</v>
      </c>
      <c r="H36" s="19">
        <f>D36*G36*(1+scen_bear)*(1-priv_discount)</f>
        <v/>
      </c>
      <c r="I36" s="19">
        <f>D36*G36*(1-priv_discount)</f>
        <v/>
      </c>
      <c r="J36" s="19">
        <f>D36*G36*(1+scen_bull)*(1-priv_discount)</f>
        <v/>
      </c>
    </row>
    <row r="37">
      <c r="B37" s="7" t="inlineStr">
        <is>
          <t>Minerven Oro</t>
        </is>
      </c>
      <c r="C37" s="10" t="inlineStr">
        <is>
          <t>Oro estatal</t>
        </is>
      </c>
      <c r="D37" s="11" t="n">
        <v>0.49</v>
      </c>
      <c r="E37" s="26" t="n">
        <v>480</v>
      </c>
      <c r="F37" s="26" t="n">
        <v>280</v>
      </c>
      <c r="G37" s="26" t="n">
        <v>800</v>
      </c>
      <c r="H37" s="19">
        <f>D37*G37*(1+scen_bear)*(1-priv_discount)</f>
        <v/>
      </c>
      <c r="I37" s="19">
        <f>D37*G37*(1-priv_discount)</f>
        <v/>
      </c>
      <c r="J37" s="19">
        <f>D37*G37*(1+scen_bull)*(1-priv_discount)</f>
        <v/>
      </c>
    </row>
    <row r="38">
      <c r="B38" s="7" t="inlineStr">
        <is>
          <t>CVG Carbones del Orinoco</t>
        </is>
      </c>
      <c r="C38" s="10" t="inlineStr">
        <is>
          <t>Carbón</t>
        </is>
      </c>
      <c r="D38" s="11" t="n">
        <v>0.51</v>
      </c>
      <c r="E38" s="26" t="n">
        <v>280</v>
      </c>
      <c r="F38" s="26" t="n">
        <v>150</v>
      </c>
      <c r="G38" s="26" t="n">
        <v>420</v>
      </c>
      <c r="H38" s="19">
        <f>D38*G38*(1+scen_bear)*(1-priv_discount)</f>
        <v/>
      </c>
      <c r="I38" s="19">
        <f>D38*G38*(1-priv_discount)</f>
        <v/>
      </c>
      <c r="J38" s="19">
        <f>D38*G38*(1+scen_bull)*(1-priv_discount)</f>
        <v/>
      </c>
    </row>
    <row r="39">
      <c r="B39" s="7" t="inlineStr">
        <is>
          <t>Sofitasa + Banplus consolidación</t>
        </is>
      </c>
      <c r="C39" s="10" t="inlineStr">
        <is>
          <t>Banca regional</t>
        </is>
      </c>
      <c r="D39" s="11" t="n">
        <v>0.51</v>
      </c>
      <c r="E39" s="26" t="n">
        <v>380</v>
      </c>
      <c r="F39" s="26" t="n">
        <v>220</v>
      </c>
      <c r="G39" s="26" t="n">
        <v>580</v>
      </c>
      <c r="H39" s="19">
        <f>D39*G39*(1+scen_bear)*(1-priv_discount)</f>
        <v/>
      </c>
      <c r="I39" s="19">
        <f>D39*G39*(1-priv_discount)</f>
        <v/>
      </c>
      <c r="J39" s="19">
        <f>D39*G39*(1+scen_bull)*(1-priv_discount)</f>
        <v/>
      </c>
    </row>
    <row r="40">
      <c r="B40" s="7" t="inlineStr">
        <is>
          <t>Industria Militar (CAVIM no-armas)</t>
        </is>
      </c>
      <c r="C40" s="10" t="inlineStr">
        <is>
          <t>Manufactura dual</t>
        </is>
      </c>
      <c r="D40" s="11" t="n">
        <v>0.51</v>
      </c>
      <c r="E40" s="26" t="n">
        <v>350</v>
      </c>
      <c r="F40" s="26" t="n">
        <v>200</v>
      </c>
      <c r="G40" s="26" t="n">
        <v>550</v>
      </c>
      <c r="H40" s="19">
        <f>D40*G40*(1+scen_bear)*(1-priv_discount)</f>
        <v/>
      </c>
      <c r="I40" s="19">
        <f>D40*G40*(1-priv_discount)</f>
        <v/>
      </c>
      <c r="J40" s="19">
        <f>D40*G40*(1+scen_bull)*(1-priv_discount)</f>
        <v/>
      </c>
    </row>
    <row r="41">
      <c r="B41" s="7" t="inlineStr">
        <is>
          <t>Petroquímica Morón</t>
        </is>
      </c>
      <c r="C41" s="10" t="inlineStr">
        <is>
          <t>Petroquímica</t>
        </is>
      </c>
      <c r="D41" s="11" t="n">
        <v>0.4</v>
      </c>
      <c r="E41" s="26" t="n">
        <v>800</v>
      </c>
      <c r="F41" s="26" t="n">
        <v>450</v>
      </c>
      <c r="G41" s="26" t="n">
        <v>1200</v>
      </c>
      <c r="H41" s="19">
        <f>D41*G41*(1+scen_bear)*(1-priv_discount)</f>
        <v/>
      </c>
      <c r="I41" s="19">
        <f>D41*G41*(1-priv_discount)</f>
        <v/>
      </c>
      <c r="J41" s="19">
        <f>D41*G41*(1+scen_bull)*(1-priv_discount)</f>
        <v/>
      </c>
    </row>
    <row r="42">
      <c r="B42" s="7" t="inlineStr">
        <is>
          <t>VeneEV (manufactura auto)</t>
        </is>
      </c>
      <c r="C42" s="10" t="inlineStr">
        <is>
          <t>Automotriz</t>
        </is>
      </c>
      <c r="D42" s="11" t="n">
        <v>0.49</v>
      </c>
      <c r="E42" s="26" t="n">
        <v>1200</v>
      </c>
      <c r="F42" s="26" t="n">
        <v>700</v>
      </c>
      <c r="G42" s="26" t="n">
        <v>2400</v>
      </c>
      <c r="H42" s="19">
        <f>D42*G42*(1+scen_bear)*(1-priv_discount)</f>
        <v/>
      </c>
      <c r="I42" s="19">
        <f>D42*G42*(1-priv_discount)</f>
        <v/>
      </c>
      <c r="J42" s="19">
        <f>D42*G42*(1+scen_bull)*(1-priv_discount)</f>
        <v/>
      </c>
    </row>
    <row r="43">
      <c r="B43" s="7" t="inlineStr">
        <is>
          <t>VeneSolar (paneles)</t>
        </is>
      </c>
      <c r="C43" s="10" t="inlineStr">
        <is>
          <t>Solar manufacturing</t>
        </is>
      </c>
      <c r="D43" s="11" t="n">
        <v>0.49</v>
      </c>
      <c r="E43" s="26" t="n">
        <v>600</v>
      </c>
      <c r="F43" s="26" t="n">
        <v>350</v>
      </c>
      <c r="G43" s="26" t="n">
        <v>1100</v>
      </c>
      <c r="H43" s="19">
        <f>D43*G43*(1+scen_bear)*(1-priv_discount)</f>
        <v/>
      </c>
      <c r="I43" s="19">
        <f>D43*G43*(1-priv_discount)</f>
        <v/>
      </c>
      <c r="J43" s="19">
        <f>D43*G43*(1+scen_bull)*(1-priv_discount)</f>
        <v/>
      </c>
    </row>
    <row r="44">
      <c r="B44" s="7" t="inlineStr">
        <is>
          <t>GuriCloud Datacenters</t>
        </is>
      </c>
      <c r="C44" s="10" t="inlineStr">
        <is>
          <t>Datacenters AI</t>
        </is>
      </c>
      <c r="D44" s="11" t="n">
        <v>0.49</v>
      </c>
      <c r="E44" s="26" t="n">
        <v>800</v>
      </c>
      <c r="F44" s="26" t="n">
        <v>500</v>
      </c>
      <c r="G44" s="26" t="n">
        <v>1800</v>
      </c>
      <c r="H44" s="19">
        <f>D44*G44*(1+scen_bear)*(1-priv_discount)</f>
        <v/>
      </c>
      <c r="I44" s="19">
        <f>D44*G44*(1-priv_discount)</f>
        <v/>
      </c>
      <c r="J44" s="19">
        <f>D44*G44*(1+scen_bull)*(1-priv_discount)</f>
        <v/>
      </c>
    </row>
    <row r="46">
      <c r="B46" s="7" t="inlineStr">
        <is>
          <t>TOTAL PROCEEDS</t>
        </is>
      </c>
      <c r="E46" s="20">
        <f>SUM(E5:E44)</f>
        <v/>
      </c>
      <c r="F46" s="20">
        <f>SUM(F5:F44)</f>
        <v/>
      </c>
      <c r="G46" s="20">
        <f>SUM(G5:G44)</f>
        <v/>
      </c>
      <c r="H46" s="20">
        <f>SUM(H5:H44)</f>
        <v/>
      </c>
      <c r="I46" s="20">
        <f>SUM(I5:I44)</f>
        <v/>
      </c>
      <c r="J46" s="20">
        <f>SUM(J5:J44)</f>
        <v/>
      </c>
    </row>
  </sheetData>
  <mergeCells count="1">
    <mergeCell ref="B2:J2"/>
  </mergeCells>
  <conditionalFormatting sqref="I5:I44">
    <cfRule type="cellIs" priority="1" operator="greaterThan" dxfId="1">
      <formula>E5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W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</cols>
  <sheetData>
    <row r="2">
      <c r="B2" s="6" t="inlineStr">
        <is>
          <t>SWF BUILD — Modelo Norges aplicado (Y0–Y20, mmUSD)</t>
        </is>
      </c>
    </row>
    <row r="4">
      <c r="B4" s="16" t="inlineStr">
        <is>
          <t>Concepto</t>
        </is>
      </c>
      <c r="C4" s="6" t="inlineStr">
        <is>
          <t>Y0</t>
        </is>
      </c>
      <c r="D4" s="6" t="inlineStr">
        <is>
          <t>Y1</t>
        </is>
      </c>
      <c r="E4" s="6" t="inlineStr">
        <is>
          <t>Y2</t>
        </is>
      </c>
      <c r="F4" s="6" t="inlineStr">
        <is>
          <t>Y3</t>
        </is>
      </c>
      <c r="G4" s="6" t="inlineStr">
        <is>
          <t>Y4</t>
        </is>
      </c>
      <c r="H4" s="6" t="inlineStr">
        <is>
          <t>Y5</t>
        </is>
      </c>
      <c r="I4" s="6" t="inlineStr">
        <is>
          <t>Y6</t>
        </is>
      </c>
      <c r="J4" s="6" t="inlineStr">
        <is>
          <t>Y7</t>
        </is>
      </c>
      <c r="K4" s="6" t="inlineStr">
        <is>
          <t>Y8</t>
        </is>
      </c>
      <c r="L4" s="6" t="inlineStr">
        <is>
          <t>Y9</t>
        </is>
      </c>
      <c r="M4" s="6" t="inlineStr">
        <is>
          <t>Y10</t>
        </is>
      </c>
      <c r="N4" s="6" t="inlineStr">
        <is>
          <t>Y11</t>
        </is>
      </c>
      <c r="O4" s="6" t="inlineStr">
        <is>
          <t>Y12</t>
        </is>
      </c>
      <c r="P4" s="6" t="inlineStr">
        <is>
          <t>Y13</t>
        </is>
      </c>
      <c r="Q4" s="6" t="inlineStr">
        <is>
          <t>Y14</t>
        </is>
      </c>
      <c r="R4" s="6" t="inlineStr">
        <is>
          <t>Y15</t>
        </is>
      </c>
      <c r="S4" s="6" t="inlineStr">
        <is>
          <t>Y16</t>
        </is>
      </c>
      <c r="T4" s="6" t="inlineStr">
        <is>
          <t>Y17</t>
        </is>
      </c>
      <c r="U4" s="6" t="inlineStr">
        <is>
          <t>Y18</t>
        </is>
      </c>
      <c r="V4" s="6" t="inlineStr">
        <is>
          <t>Y19</t>
        </is>
      </c>
      <c r="W4" s="6" t="inlineStr">
        <is>
          <t>Y20</t>
        </is>
      </c>
    </row>
    <row r="5">
      <c r="B5" s="7" t="inlineStr">
        <is>
          <t>AUM beginning (mmUSD)</t>
        </is>
      </c>
      <c r="C5" s="19" t="n">
        <v>0</v>
      </c>
      <c r="D5" s="19">
        <f>C9</f>
        <v/>
      </c>
      <c r="E5" s="19">
        <f>D9</f>
        <v/>
      </c>
      <c r="F5" s="19">
        <f>E9</f>
        <v/>
      </c>
      <c r="G5" s="19">
        <f>F9</f>
        <v/>
      </c>
      <c r="H5" s="19">
        <f>G9</f>
        <v/>
      </c>
      <c r="I5" s="19">
        <f>H9</f>
        <v/>
      </c>
      <c r="J5" s="19">
        <f>I9</f>
        <v/>
      </c>
      <c r="K5" s="19">
        <f>J9</f>
        <v/>
      </c>
      <c r="L5" s="19">
        <f>K9</f>
        <v/>
      </c>
      <c r="M5" s="19">
        <f>L9</f>
        <v/>
      </c>
      <c r="N5" s="19">
        <f>M9</f>
        <v/>
      </c>
      <c r="O5" s="19">
        <f>N9</f>
        <v/>
      </c>
      <c r="P5" s="19">
        <f>O9</f>
        <v/>
      </c>
      <c r="Q5" s="19">
        <f>P9</f>
        <v/>
      </c>
      <c r="R5" s="19">
        <f>Q9</f>
        <v/>
      </c>
      <c r="S5" s="19">
        <f>R9</f>
        <v/>
      </c>
      <c r="T5" s="19">
        <f>S9</f>
        <v/>
      </c>
      <c r="U5" s="19">
        <f>T9</f>
        <v/>
      </c>
      <c r="V5" s="19">
        <f>U9</f>
        <v/>
      </c>
      <c r="W5" s="19">
        <f>V9</f>
        <v/>
      </c>
    </row>
    <row r="6">
      <c r="B6" s="7" t="inlineStr">
        <is>
          <t>Inflows (mmUSD)</t>
        </is>
      </c>
      <c r="C6" s="19">
        <f>0</f>
        <v/>
      </c>
      <c r="D6" s="19">
        <f>(oil_gov_y10*1/10)*0.10+mining_gov_y5*0.10+priv_proceeds_base/5</f>
        <v/>
      </c>
      <c r="E6" s="19">
        <f>(oil_gov_y10*2/10)*0.10+mining_gov_y5*0.10+priv_proceeds_base/5</f>
        <v/>
      </c>
      <c r="F6" s="19">
        <f>(oil_gov_y10*3/10)*0.10+mining_gov_y5*0.10+priv_proceeds_base/5</f>
        <v/>
      </c>
      <c r="G6" s="19">
        <f>(oil_gov_y10*4/10)*0.10+mining_gov_y5*0.10+priv_proceeds_base/5</f>
        <v/>
      </c>
      <c r="H6" s="19">
        <f>(oil_gov_y10*5/10)*0.10+mining_gov_y5*0.10+priv_proceeds_base/5</f>
        <v/>
      </c>
      <c r="I6" s="19">
        <f>(oil_gov_y10*6/10)*0.10+mining_gov_y5*0.10+0</f>
        <v/>
      </c>
      <c r="J6" s="19">
        <f>(oil_gov_y10*7/10)*0.10+mining_gov_y5*0.10+0</f>
        <v/>
      </c>
      <c r="K6" s="19">
        <f>(oil_gov_y10*8/10)*0.10+mining_gov_y5*0.10+0</f>
        <v/>
      </c>
      <c r="L6" s="19">
        <f>(oil_gov_y10*9/10)*0.10+mining_gov_y5*0.10+0</f>
        <v/>
      </c>
      <c r="M6" s="19">
        <f>(oil_gov_y10*10/10)*0.10+mining_gov_y5*0.10+0</f>
        <v/>
      </c>
      <c r="N6" s="19">
        <f>oil_gov_y10*0.10+mining_gov_y5*0.10</f>
        <v/>
      </c>
      <c r="O6" s="19">
        <f>oil_gov_y10*0.10+mining_gov_y5*0.10</f>
        <v/>
      </c>
      <c r="P6" s="19">
        <f>oil_gov_y10*0.10+mining_gov_y5*0.10</f>
        <v/>
      </c>
      <c r="Q6" s="19">
        <f>oil_gov_y10*0.10+mining_gov_y5*0.10</f>
        <v/>
      </c>
      <c r="R6" s="19">
        <f>oil_gov_y10*0.10+mining_gov_y5*0.10</f>
        <v/>
      </c>
      <c r="S6" s="19">
        <f>oil_gov_y10*0.10+mining_gov_y5*0.10</f>
        <v/>
      </c>
      <c r="T6" s="19">
        <f>oil_gov_y10*0.10+mining_gov_y5*0.10</f>
        <v/>
      </c>
      <c r="U6" s="19">
        <f>oil_gov_y10*0.10+mining_gov_y5*0.10</f>
        <v/>
      </c>
      <c r="V6" s="19">
        <f>oil_gov_y10*0.10+mining_gov_y5*0.10</f>
        <v/>
      </c>
      <c r="W6" s="19">
        <f>oil_gov_y10*0.10+mining_gov_y5*0.10</f>
        <v/>
      </c>
    </row>
    <row r="7">
      <c r="B7" s="7" t="inlineStr">
        <is>
          <t>Returns (real)</t>
        </is>
      </c>
      <c r="C7" s="19">
        <f>C5*swf_return</f>
        <v/>
      </c>
      <c r="D7" s="19">
        <f>D5*swf_return</f>
        <v/>
      </c>
      <c r="E7" s="19">
        <f>E5*swf_return</f>
        <v/>
      </c>
      <c r="F7" s="19">
        <f>F5*swf_return</f>
        <v/>
      </c>
      <c r="G7" s="19">
        <f>G5*swf_return</f>
        <v/>
      </c>
      <c r="H7" s="19">
        <f>H5*swf_return</f>
        <v/>
      </c>
      <c r="I7" s="19">
        <f>I5*swf_return</f>
        <v/>
      </c>
      <c r="J7" s="19">
        <f>J5*swf_return</f>
        <v/>
      </c>
      <c r="K7" s="19">
        <f>K5*swf_return</f>
        <v/>
      </c>
      <c r="L7" s="19">
        <f>L5*swf_return</f>
        <v/>
      </c>
      <c r="M7" s="19">
        <f>M5*swf_return</f>
        <v/>
      </c>
      <c r="N7" s="19">
        <f>N5*swf_return</f>
        <v/>
      </c>
      <c r="O7" s="19">
        <f>O5*swf_return</f>
        <v/>
      </c>
      <c r="P7" s="19">
        <f>P5*swf_return</f>
        <v/>
      </c>
      <c r="Q7" s="19">
        <f>Q5*swf_return</f>
        <v/>
      </c>
      <c r="R7" s="19">
        <f>R5*swf_return</f>
        <v/>
      </c>
      <c r="S7" s="19">
        <f>S5*swf_return</f>
        <v/>
      </c>
      <c r="T7" s="19">
        <f>T5*swf_return</f>
        <v/>
      </c>
      <c r="U7" s="19">
        <f>U5*swf_return</f>
        <v/>
      </c>
      <c r="V7" s="19">
        <f>V5*swf_return</f>
        <v/>
      </c>
      <c r="W7" s="19">
        <f>W5*swf_return</f>
        <v/>
      </c>
    </row>
    <row r="8">
      <c r="B8" s="7" t="inlineStr">
        <is>
          <t>Outflows (3% rule)</t>
        </is>
      </c>
      <c r="C8" s="19">
        <f>-C5*swf_spend</f>
        <v/>
      </c>
      <c r="D8" s="19">
        <f>-D5*swf_spend</f>
        <v/>
      </c>
      <c r="E8" s="19">
        <f>-E5*swf_spend</f>
        <v/>
      </c>
      <c r="F8" s="19">
        <f>-F5*swf_spend</f>
        <v/>
      </c>
      <c r="G8" s="19">
        <f>-G5*swf_spend</f>
        <v/>
      </c>
      <c r="H8" s="19">
        <f>-H5*swf_spend</f>
        <v/>
      </c>
      <c r="I8" s="19">
        <f>-I5*swf_spend</f>
        <v/>
      </c>
      <c r="J8" s="19">
        <f>-J5*swf_spend</f>
        <v/>
      </c>
      <c r="K8" s="19">
        <f>-K5*swf_spend</f>
        <v/>
      </c>
      <c r="L8" s="19">
        <f>-L5*swf_spend</f>
        <v/>
      </c>
      <c r="M8" s="19">
        <f>-M5*swf_spend</f>
        <v/>
      </c>
      <c r="N8" s="19">
        <f>-N5*swf_spend</f>
        <v/>
      </c>
      <c r="O8" s="19">
        <f>-O5*swf_spend</f>
        <v/>
      </c>
      <c r="P8" s="19">
        <f>-P5*swf_spend</f>
        <v/>
      </c>
      <c r="Q8" s="19">
        <f>-Q5*swf_spend</f>
        <v/>
      </c>
      <c r="R8" s="19">
        <f>-R5*swf_spend</f>
        <v/>
      </c>
      <c r="S8" s="19">
        <f>-S5*swf_spend</f>
        <v/>
      </c>
      <c r="T8" s="19">
        <f>-T5*swf_spend</f>
        <v/>
      </c>
      <c r="U8" s="19">
        <f>-U5*swf_spend</f>
        <v/>
      </c>
      <c r="V8" s="19">
        <f>-V5*swf_spend</f>
        <v/>
      </c>
      <c r="W8" s="19">
        <f>-W5*swf_spend</f>
        <v/>
      </c>
    </row>
    <row r="9">
      <c r="B9" s="7" t="inlineStr">
        <is>
          <t>AUM end (mmUSD)</t>
        </is>
      </c>
      <c r="C9" s="20">
        <f>C5+C6+C7+C8</f>
        <v/>
      </c>
      <c r="D9" s="20">
        <f>D5+D6+D7+D8</f>
        <v/>
      </c>
      <c r="E9" s="20">
        <f>E5+E6+E7+E8</f>
        <v/>
      </c>
      <c r="F9" s="20">
        <f>F5+F6+F7+F8</f>
        <v/>
      </c>
      <c r="G9" s="20">
        <f>G5+G6+G7+G8</f>
        <v/>
      </c>
      <c r="H9" s="20">
        <f>H5+H6+H7+H8</f>
        <v/>
      </c>
      <c r="I9" s="20">
        <f>I5+I6+I7+I8</f>
        <v/>
      </c>
      <c r="J9" s="20">
        <f>J5+J6+J7+J8</f>
        <v/>
      </c>
      <c r="K9" s="20">
        <f>K5+K6+K7+K8</f>
        <v/>
      </c>
      <c r="L9" s="20">
        <f>L5+L6+L7+L8</f>
        <v/>
      </c>
      <c r="M9" s="20">
        <f>M5+M6+M7+M8</f>
        <v/>
      </c>
      <c r="N9" s="20">
        <f>N5+N6+N7+N8</f>
        <v/>
      </c>
      <c r="O9" s="20">
        <f>O5+O6+O7+O8</f>
        <v/>
      </c>
      <c r="P9" s="20">
        <f>P5+P6+P7+P8</f>
        <v/>
      </c>
      <c r="Q9" s="20">
        <f>Q5+Q6+Q7+Q8</f>
        <v/>
      </c>
      <c r="R9" s="20">
        <f>R5+R6+R7+R8</f>
        <v/>
      </c>
      <c r="S9" s="20">
        <f>S5+S6+S7+S8</f>
        <v/>
      </c>
      <c r="T9" s="20">
        <f>T5+T6+T7+T8</f>
        <v/>
      </c>
      <c r="U9" s="20">
        <f>U5+U6+U7+U8</f>
        <v/>
      </c>
      <c r="V9" s="20">
        <f>V5+V6+V7+V8</f>
        <v/>
      </c>
      <c r="W9" s="20">
        <f>W5+W6+W7+W8</f>
        <v/>
      </c>
    </row>
  </sheetData>
  <mergeCells count="1">
    <mergeCell ref="B2:V2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D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8" customWidth="1" min="3" max="3"/>
    <col width="40" customWidth="1" min="4" max="4"/>
  </cols>
  <sheetData>
    <row r="2">
      <c r="B2" s="6" t="inlineStr">
        <is>
          <t>BOND EXCHANGE — $87.25B face → Recovery &amp; New Issue</t>
        </is>
      </c>
    </row>
    <row r="5">
      <c r="B5" s="7" t="inlineStr">
        <is>
          <t>Face value original soberano (mmUSD)</t>
        </is>
      </c>
      <c r="C5" s="26" t="n">
        <v>31000</v>
      </c>
    </row>
    <row r="6">
      <c r="B6" s="7" t="inlineStr">
        <is>
          <t>Face value original PDVSA (mmUSD)</t>
        </is>
      </c>
      <c r="C6" s="26" t="n">
        <v>27000</v>
      </c>
    </row>
    <row r="7">
      <c r="B7" s="7" t="inlineStr">
        <is>
          <t>Intereses acumulados PIK (mmUSD)</t>
        </is>
      </c>
      <c r="C7" s="26" t="n">
        <v>29250</v>
      </c>
    </row>
    <row r="8">
      <c r="B8" s="7" t="inlineStr">
        <is>
          <t>TOTAL face + PIK (mmUSD)</t>
        </is>
      </c>
      <c r="C8" s="19">
        <f>C5+C6+C7</f>
        <v/>
      </c>
    </row>
    <row r="9">
      <c r="B9" s="7" t="inlineStr">
        <is>
          <t>Recovery rate blended</t>
        </is>
      </c>
      <c r="C9" s="27">
        <f>recovery_rate</f>
        <v/>
      </c>
    </row>
    <row r="10">
      <c r="B10" s="7" t="inlineStr">
        <is>
          <t>Valor presente exchange (mmUSD)</t>
        </is>
      </c>
      <c r="C10" s="19">
        <f>C8*C9</f>
        <v/>
      </c>
    </row>
    <row r="11">
      <c r="B11" s="7" t="inlineStr">
        <is>
          <t>Nuevo cupón</t>
        </is>
      </c>
      <c r="C11" s="28">
        <f>new_coupon</f>
        <v/>
      </c>
    </row>
    <row r="12">
      <c r="B12" s="7" t="inlineStr">
        <is>
          <t>Nuevo plazo (años)</t>
        </is>
      </c>
      <c r="C12" s="17">
        <f>new_tenor</f>
        <v/>
      </c>
    </row>
    <row r="13">
      <c r="B13" s="7" t="inlineStr">
        <is>
          <t>Servicio de deuda anual nuevo (mmUSD)</t>
        </is>
      </c>
      <c r="C13" s="19">
        <f>C10*C11</f>
        <v/>
      </c>
    </row>
    <row r="14">
      <c r="B14" s="7" t="inlineStr">
        <is>
          <t>Total cupones nominales vida bono (mmUSD)</t>
        </is>
      </c>
      <c r="C14" s="19">
        <f>C13*C12</f>
        <v/>
      </c>
    </row>
    <row r="15">
      <c r="B15" s="7" t="inlineStr">
        <is>
          <t>Total cash flow incl. principal (mmUSD)</t>
        </is>
      </c>
      <c r="C15" s="19">
        <f>C10+C14</f>
        <v/>
      </c>
    </row>
    <row r="16">
      <c r="B16" s="7" t="inlineStr">
        <is>
          <t>NPV @ WACC (mmUSD)</t>
        </is>
      </c>
      <c r="C16" s="20">
        <f>C13*((1-(1+wacc)^-C12)/wacc)+C10/((1+wacc)^C12)</f>
        <v/>
      </c>
    </row>
    <row r="17">
      <c r="B17" s="7" t="inlineStr">
        <is>
          <t>Implied bond price (cents)</t>
        </is>
      </c>
      <c r="C17" s="29">
        <f>C16/C8*100</f>
        <v/>
      </c>
    </row>
    <row r="18">
      <c r="B18" s="7" t="inlineStr">
        <is>
          <t>Quita nominal (mmUSD)</t>
        </is>
      </c>
      <c r="C18" s="19">
        <f>C8-C10</f>
        <v/>
      </c>
    </row>
    <row r="19">
      <c r="B19" s="7" t="inlineStr">
        <is>
          <t>Recovery vs original (cents)</t>
        </is>
      </c>
      <c r="C19" s="30">
        <f>C10/C8*100</f>
        <v/>
      </c>
    </row>
  </sheetData>
  <mergeCells count="1">
    <mergeCell ref="B2:D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W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</cols>
  <sheetData>
    <row r="2">
      <c r="B2" s="6" t="inlineStr">
        <is>
          <t>DEBT SERVICE COVERAGE RATIO — Y0 a Y20 (DSC ≥ 1.3 requerido)</t>
        </is>
      </c>
    </row>
    <row r="4">
      <c r="C4" s="6" t="inlineStr">
        <is>
          <t>Y0</t>
        </is>
      </c>
      <c r="D4" s="6" t="inlineStr">
        <is>
          <t>Y1</t>
        </is>
      </c>
      <c r="E4" s="6" t="inlineStr">
        <is>
          <t>Y2</t>
        </is>
      </c>
      <c r="F4" s="6" t="inlineStr">
        <is>
          <t>Y3</t>
        </is>
      </c>
      <c r="G4" s="6" t="inlineStr">
        <is>
          <t>Y4</t>
        </is>
      </c>
      <c r="H4" s="6" t="inlineStr">
        <is>
          <t>Y5</t>
        </is>
      </c>
      <c r="I4" s="6" t="inlineStr">
        <is>
          <t>Y6</t>
        </is>
      </c>
      <c r="J4" s="6" t="inlineStr">
        <is>
          <t>Y7</t>
        </is>
      </c>
      <c r="K4" s="6" t="inlineStr">
        <is>
          <t>Y8</t>
        </is>
      </c>
      <c r="L4" s="6" t="inlineStr">
        <is>
          <t>Y9</t>
        </is>
      </c>
      <c r="M4" s="6" t="inlineStr">
        <is>
          <t>Y10</t>
        </is>
      </c>
      <c r="N4" s="6" t="inlineStr">
        <is>
          <t>Y11</t>
        </is>
      </c>
      <c r="O4" s="6" t="inlineStr">
        <is>
          <t>Y12</t>
        </is>
      </c>
      <c r="P4" s="6" t="inlineStr">
        <is>
          <t>Y13</t>
        </is>
      </c>
      <c r="Q4" s="6" t="inlineStr">
        <is>
          <t>Y14</t>
        </is>
      </c>
      <c r="R4" s="6" t="inlineStr">
        <is>
          <t>Y15</t>
        </is>
      </c>
      <c r="S4" s="6" t="inlineStr">
        <is>
          <t>Y16</t>
        </is>
      </c>
      <c r="T4" s="6" t="inlineStr">
        <is>
          <t>Y17</t>
        </is>
      </c>
      <c r="U4" s="6" t="inlineStr">
        <is>
          <t>Y18</t>
        </is>
      </c>
      <c r="V4" s="6" t="inlineStr">
        <is>
          <t>Y19</t>
        </is>
      </c>
      <c r="W4" s="6" t="inlineStr">
        <is>
          <t>Y20</t>
        </is>
      </c>
    </row>
    <row r="5">
      <c r="B5" s="7" t="inlineStr">
        <is>
          <t>Oil gov revenue</t>
        </is>
      </c>
      <c r="C5" s="19">
        <f>200</f>
        <v/>
      </c>
      <c r="D5" s="19">
        <f>200+(oil_gov_y10-200)*1/10</f>
        <v/>
      </c>
      <c r="E5" s="19">
        <f>200+(oil_gov_y10-200)*2/10</f>
        <v/>
      </c>
      <c r="F5" s="19">
        <f>200+(oil_gov_y10-200)*3/10</f>
        <v/>
      </c>
      <c r="G5" s="19">
        <f>200+(oil_gov_y10-200)*4/10</f>
        <v/>
      </c>
      <c r="H5" s="19">
        <f>200+(oil_gov_y10-200)*5/10</f>
        <v/>
      </c>
      <c r="I5" s="19">
        <f>200+(oil_gov_y10-200)*6/10</f>
        <v/>
      </c>
      <c r="J5" s="19">
        <f>200+(oil_gov_y10-200)*7/10</f>
        <v/>
      </c>
      <c r="K5" s="19">
        <f>200+(oil_gov_y10-200)*8/10</f>
        <v/>
      </c>
      <c r="L5" s="19">
        <f>200+(oil_gov_y10-200)*9/10</f>
        <v/>
      </c>
      <c r="M5" s="19">
        <f>200+(oil_gov_y10-200)*10/10</f>
        <v/>
      </c>
      <c r="N5" s="19">
        <f>oil_gov_y10*(1+0.02*(11-10))</f>
        <v/>
      </c>
      <c r="O5" s="19">
        <f>oil_gov_y10*(1+0.02*(12-10))</f>
        <v/>
      </c>
      <c r="P5" s="19">
        <f>oil_gov_y10*(1+0.02*(13-10))</f>
        <v/>
      </c>
      <c r="Q5" s="19">
        <f>oil_gov_y10*(1+0.02*(14-10))</f>
        <v/>
      </c>
      <c r="R5" s="19">
        <f>oil_gov_y10*(1+0.02*(15-10))</f>
        <v/>
      </c>
      <c r="S5" s="19">
        <f>oil_gov_y10*(1+0.02*(16-10))</f>
        <v/>
      </c>
      <c r="T5" s="19">
        <f>oil_gov_y10*(1+0.02*(17-10))</f>
        <v/>
      </c>
      <c r="U5" s="19">
        <f>oil_gov_y10*(1+0.02*(18-10))</f>
        <v/>
      </c>
      <c r="V5" s="19">
        <f>oil_gov_y10*(1+0.02*(19-10))</f>
        <v/>
      </c>
      <c r="W5" s="19">
        <f>oil_gov_y10*(1+0.02*(20-10))</f>
        <v/>
      </c>
    </row>
    <row r="6">
      <c r="B6" s="7" t="inlineStr">
        <is>
          <t>Mining gov revenue</t>
        </is>
      </c>
      <c r="C6" s="19">
        <f>50</f>
        <v/>
      </c>
      <c r="D6" s="19">
        <f>50+(mining_gov_y5-50)*1/5</f>
        <v/>
      </c>
      <c r="E6" s="19">
        <f>50+(mining_gov_y5-50)*2/5</f>
        <v/>
      </c>
      <c r="F6" s="19">
        <f>50+(mining_gov_y5-50)*3/5</f>
        <v/>
      </c>
      <c r="G6" s="19">
        <f>50+(mining_gov_y5-50)*4/5</f>
        <v/>
      </c>
      <c r="H6" s="19">
        <f>50+(mining_gov_y5-50)*5/5</f>
        <v/>
      </c>
      <c r="I6" s="19">
        <f>mining_gov_y5*(1+0.03*(6-5))</f>
        <v/>
      </c>
      <c r="J6" s="19">
        <f>mining_gov_y5*(1+0.03*(7-5))</f>
        <v/>
      </c>
      <c r="K6" s="19">
        <f>mining_gov_y5*(1+0.03*(8-5))</f>
        <v/>
      </c>
      <c r="L6" s="19">
        <f>mining_gov_y5*(1+0.03*(9-5))</f>
        <v/>
      </c>
      <c r="M6" s="19">
        <f>mining_gov_y5*(1+0.03*(10-5))</f>
        <v/>
      </c>
      <c r="N6" s="19">
        <f>mining_gov_y5*(1+0.03*(11-5))</f>
        <v/>
      </c>
      <c r="O6" s="19">
        <f>mining_gov_y5*(1+0.03*(12-5))</f>
        <v/>
      </c>
      <c r="P6" s="19">
        <f>mining_gov_y5*(1+0.03*(13-5))</f>
        <v/>
      </c>
      <c r="Q6" s="19">
        <f>mining_gov_y5*(1+0.03*(14-5))</f>
        <v/>
      </c>
      <c r="R6" s="19">
        <f>mining_gov_y5*(1+0.03*(15-5))</f>
        <v/>
      </c>
      <c r="S6" s="19">
        <f>mining_gov_y5*(1+0.03*(16-5))</f>
        <v/>
      </c>
      <c r="T6" s="19">
        <f>mining_gov_y5*(1+0.03*(17-5))</f>
        <v/>
      </c>
      <c r="U6" s="19">
        <f>mining_gov_y5*(1+0.03*(18-5))</f>
        <v/>
      </c>
      <c r="V6" s="19">
        <f>mining_gov_y5*(1+0.03*(19-5))</f>
        <v/>
      </c>
      <c r="W6" s="19">
        <f>mining_gov_y5*(1+0.03*(20-5))</f>
        <v/>
      </c>
    </row>
    <row r="7">
      <c r="B7" s="7" t="inlineStr">
        <is>
          <t>Tax revenue (IVA + others)</t>
        </is>
      </c>
      <c r="C7" s="19">
        <f>1200+800*0</f>
        <v/>
      </c>
      <c r="D7" s="19">
        <f>1200+800*1</f>
        <v/>
      </c>
      <c r="E7" s="19">
        <f>1200+800*2</f>
        <v/>
      </c>
      <c r="F7" s="19">
        <f>1200+800*3</f>
        <v/>
      </c>
      <c r="G7" s="19">
        <f>1200+800*4</f>
        <v/>
      </c>
      <c r="H7" s="19">
        <f>1200+800*5</f>
        <v/>
      </c>
      <c r="I7" s="19">
        <f>1200+800*6</f>
        <v/>
      </c>
      <c r="J7" s="19">
        <f>1200+800*7</f>
        <v/>
      </c>
      <c r="K7" s="19">
        <f>1200+800*8</f>
        <v/>
      </c>
      <c r="L7" s="19">
        <f>1200+800*9</f>
        <v/>
      </c>
      <c r="M7" s="19">
        <f>1200+800*10</f>
        <v/>
      </c>
      <c r="N7" s="19">
        <f>1200+800*11</f>
        <v/>
      </c>
      <c r="O7" s="19">
        <f>1200+800*12</f>
        <v/>
      </c>
      <c r="P7" s="19">
        <f>1200+800*13</f>
        <v/>
      </c>
      <c r="Q7" s="19">
        <f>1200+800*14</f>
        <v/>
      </c>
      <c r="R7" s="19">
        <f>1200+800*15</f>
        <v/>
      </c>
      <c r="S7" s="19">
        <f>1200+800*16</f>
        <v/>
      </c>
      <c r="T7" s="19">
        <f>1200+800*17</f>
        <v/>
      </c>
      <c r="U7" s="19">
        <f>1200+800*18</f>
        <v/>
      </c>
      <c r="V7" s="19">
        <f>1200+800*19</f>
        <v/>
      </c>
      <c r="W7" s="19">
        <f>1200+800*20</f>
        <v/>
      </c>
    </row>
    <row r="8">
      <c r="B8" s="7" t="inlineStr">
        <is>
          <t>Privatization proceeds (Y1-Y5)</t>
        </is>
      </c>
      <c r="C8" s="19">
        <f>0</f>
        <v/>
      </c>
      <c r="D8" s="19">
        <f>priv_proceeds_base/5</f>
        <v/>
      </c>
      <c r="E8" s="19">
        <f>priv_proceeds_base/5</f>
        <v/>
      </c>
      <c r="F8" s="19">
        <f>priv_proceeds_base/5</f>
        <v/>
      </c>
      <c r="G8" s="19">
        <f>priv_proceeds_base/5</f>
        <v/>
      </c>
      <c r="H8" s="19">
        <f>priv_proceeds_base/5</f>
        <v/>
      </c>
      <c r="I8" s="19">
        <f>0</f>
        <v/>
      </c>
      <c r="J8" s="19">
        <f>0</f>
        <v/>
      </c>
      <c r="K8" s="19">
        <f>0</f>
        <v/>
      </c>
      <c r="L8" s="19">
        <f>0</f>
        <v/>
      </c>
      <c r="M8" s="19">
        <f>0</f>
        <v/>
      </c>
      <c r="N8" s="19">
        <f>0</f>
        <v/>
      </c>
      <c r="O8" s="19">
        <f>0</f>
        <v/>
      </c>
      <c r="P8" s="19">
        <f>0</f>
        <v/>
      </c>
      <c r="Q8" s="19">
        <f>0</f>
        <v/>
      </c>
      <c r="R8" s="19">
        <f>0</f>
        <v/>
      </c>
      <c r="S8" s="19">
        <f>0</f>
        <v/>
      </c>
      <c r="T8" s="19">
        <f>0</f>
        <v/>
      </c>
      <c r="U8" s="19">
        <f>0</f>
        <v/>
      </c>
      <c r="V8" s="19">
        <f>0</f>
        <v/>
      </c>
      <c r="W8" s="19">
        <f>0</f>
        <v/>
      </c>
    </row>
    <row r="9">
      <c r="B9" s="7" t="inlineStr">
        <is>
          <t>TOTAL INFLOWS</t>
        </is>
      </c>
      <c r="C9" s="20">
        <f>SUM(C5:C8)</f>
        <v/>
      </c>
      <c r="D9" s="20">
        <f>SUM(D5:D8)</f>
        <v/>
      </c>
      <c r="E9" s="20">
        <f>SUM(E5:E8)</f>
        <v/>
      </c>
      <c r="F9" s="20">
        <f>SUM(F5:F8)</f>
        <v/>
      </c>
      <c r="G9" s="20">
        <f>SUM(G5:G8)</f>
        <v/>
      </c>
      <c r="H9" s="20">
        <f>SUM(H5:H8)</f>
        <v/>
      </c>
      <c r="I9" s="20">
        <f>SUM(I5:I8)</f>
        <v/>
      </c>
      <c r="J9" s="20">
        <f>SUM(J5:J8)</f>
        <v/>
      </c>
      <c r="K9" s="20">
        <f>SUM(K5:K8)</f>
        <v/>
      </c>
      <c r="L9" s="20">
        <f>SUM(L5:L8)</f>
        <v/>
      </c>
      <c r="M9" s="20">
        <f>SUM(M5:M8)</f>
        <v/>
      </c>
      <c r="N9" s="20">
        <f>SUM(N5:N8)</f>
        <v/>
      </c>
      <c r="O9" s="20">
        <f>SUM(O5:O8)</f>
        <v/>
      </c>
      <c r="P9" s="20">
        <f>SUM(P5:P8)</f>
        <v/>
      </c>
      <c r="Q9" s="20">
        <f>SUM(Q5:Q8)</f>
        <v/>
      </c>
      <c r="R9" s="20">
        <f>SUM(R5:R8)</f>
        <v/>
      </c>
      <c r="S9" s="20">
        <f>SUM(S5:S8)</f>
        <v/>
      </c>
      <c r="T9" s="20">
        <f>SUM(T5:T8)</f>
        <v/>
      </c>
      <c r="U9" s="20">
        <f>SUM(U5:U8)</f>
        <v/>
      </c>
      <c r="V9" s="20">
        <f>SUM(V5:V8)</f>
        <v/>
      </c>
      <c r="W9" s="20">
        <f>SUM(W5:W8)</f>
        <v/>
      </c>
    </row>
    <row r="10">
      <c r="B10" s="7" t="inlineStr">
        <is>
          <t>Bond service (new issue)</t>
        </is>
      </c>
      <c r="C10" s="19">
        <f>BOND_EXCHANGE!$C$13</f>
        <v/>
      </c>
      <c r="D10" s="19">
        <f>BOND_EXCHANGE!$C$13</f>
        <v/>
      </c>
      <c r="E10" s="19">
        <f>BOND_EXCHANGE!$C$13</f>
        <v/>
      </c>
      <c r="F10" s="19">
        <f>BOND_EXCHANGE!$C$13</f>
        <v/>
      </c>
      <c r="G10" s="19">
        <f>BOND_EXCHANGE!$C$13</f>
        <v/>
      </c>
      <c r="H10" s="19">
        <f>BOND_EXCHANGE!$C$13</f>
        <v/>
      </c>
      <c r="I10" s="19">
        <f>BOND_EXCHANGE!$C$13</f>
        <v/>
      </c>
      <c r="J10" s="19">
        <f>BOND_EXCHANGE!$C$13</f>
        <v/>
      </c>
      <c r="K10" s="19">
        <f>BOND_EXCHANGE!$C$13</f>
        <v/>
      </c>
      <c r="L10" s="19">
        <f>BOND_EXCHANGE!$C$13</f>
        <v/>
      </c>
      <c r="M10" s="19">
        <f>BOND_EXCHANGE!$C$13</f>
        <v/>
      </c>
      <c r="N10" s="19">
        <f>BOND_EXCHANGE!$C$13</f>
        <v/>
      </c>
      <c r="O10" s="19">
        <f>BOND_EXCHANGE!$C$13</f>
        <v/>
      </c>
      <c r="P10" s="19">
        <f>BOND_EXCHANGE!$C$13</f>
        <v/>
      </c>
      <c r="Q10" s="19">
        <f>BOND_EXCHANGE!$C$13</f>
        <v/>
      </c>
      <c r="R10" s="19">
        <f>BOND_EXCHANGE!$C$13</f>
        <v/>
      </c>
      <c r="S10" s="19">
        <f>BOND_EXCHANGE!$C$13</f>
        <v/>
      </c>
      <c r="T10" s="19">
        <f>BOND_EXCHANGE!$C$13</f>
        <v/>
      </c>
      <c r="U10" s="19">
        <f>BOND_EXCHANGE!$C$13</f>
        <v/>
      </c>
      <c r="V10" s="19">
        <f>BOND_EXCHANGE!$C$13</f>
        <v/>
      </c>
      <c r="W10" s="19">
        <f>BOND_EXCHANGE!$C$13</f>
        <v/>
      </c>
    </row>
    <row r="11">
      <c r="B11" s="7" t="inlineStr">
        <is>
          <t>IFI loans (IMF/IDB/WB)</t>
        </is>
      </c>
      <c r="C11" s="19">
        <f>600+50*0</f>
        <v/>
      </c>
      <c r="D11" s="19">
        <f>600+50*1</f>
        <v/>
      </c>
      <c r="E11" s="19">
        <f>600+50*2</f>
        <v/>
      </c>
      <c r="F11" s="19">
        <f>600+50*3</f>
        <v/>
      </c>
      <c r="G11" s="19">
        <f>600+50*4</f>
        <v/>
      </c>
      <c r="H11" s="19">
        <f>600+50*5</f>
        <v/>
      </c>
      <c r="I11" s="19">
        <f>600+50*6</f>
        <v/>
      </c>
      <c r="J11" s="19">
        <f>600+50*7</f>
        <v/>
      </c>
      <c r="K11" s="19">
        <f>600+50*8</f>
        <v/>
      </c>
      <c r="L11" s="19">
        <f>600+50*9</f>
        <v/>
      </c>
      <c r="M11" s="19">
        <f>600+50*10</f>
        <v/>
      </c>
      <c r="N11" s="19">
        <f>600+50*11</f>
        <v/>
      </c>
      <c r="O11" s="19">
        <f>600+50*12</f>
        <v/>
      </c>
      <c r="P11" s="19">
        <f>600+50*13</f>
        <v/>
      </c>
      <c r="Q11" s="19">
        <f>600+50*14</f>
        <v/>
      </c>
      <c r="R11" s="19">
        <f>600+50*15</f>
        <v/>
      </c>
      <c r="S11" s="19">
        <f>600+50*16</f>
        <v/>
      </c>
      <c r="T11" s="19">
        <f>600+50*17</f>
        <v/>
      </c>
      <c r="U11" s="19">
        <f>600+50*18</f>
        <v/>
      </c>
      <c r="V11" s="19">
        <f>600+50*19</f>
        <v/>
      </c>
      <c r="W11" s="19">
        <f>600+50*20</f>
        <v/>
      </c>
    </row>
    <row r="12">
      <c r="B12" s="7" t="inlineStr">
        <is>
          <t>Operational expenses (gov)</t>
        </is>
      </c>
      <c r="C12" s="19">
        <f>3000+400*0</f>
        <v/>
      </c>
      <c r="D12" s="19">
        <f>3000+400*1</f>
        <v/>
      </c>
      <c r="E12" s="19">
        <f>3000+400*2</f>
        <v/>
      </c>
      <c r="F12" s="19">
        <f>3000+400*3</f>
        <v/>
      </c>
      <c r="G12" s="19">
        <f>3000+400*4</f>
        <v/>
      </c>
      <c r="H12" s="19">
        <f>3000+400*5</f>
        <v/>
      </c>
      <c r="I12" s="19">
        <f>3000+400*6</f>
        <v/>
      </c>
      <c r="J12" s="19">
        <f>3000+400*7</f>
        <v/>
      </c>
      <c r="K12" s="19">
        <f>3000+400*8</f>
        <v/>
      </c>
      <c r="L12" s="19">
        <f>3000+400*9</f>
        <v/>
      </c>
      <c r="M12" s="19">
        <f>3000+400*10</f>
        <v/>
      </c>
      <c r="N12" s="19">
        <f>3000+400*11</f>
        <v/>
      </c>
      <c r="O12" s="19">
        <f>3000+400*12</f>
        <v/>
      </c>
      <c r="P12" s="19">
        <f>3000+400*13</f>
        <v/>
      </c>
      <c r="Q12" s="19">
        <f>3000+400*14</f>
        <v/>
      </c>
      <c r="R12" s="19">
        <f>3000+400*15</f>
        <v/>
      </c>
      <c r="S12" s="19">
        <f>3000+400*16</f>
        <v/>
      </c>
      <c r="T12" s="19">
        <f>3000+400*17</f>
        <v/>
      </c>
      <c r="U12" s="19">
        <f>3000+400*18</f>
        <v/>
      </c>
      <c r="V12" s="19">
        <f>3000+400*19</f>
        <v/>
      </c>
      <c r="W12" s="19">
        <f>3000+400*20</f>
        <v/>
      </c>
    </row>
    <row r="13">
      <c r="B13" s="7" t="inlineStr">
        <is>
          <t>TOTAL OUTFLOWS</t>
        </is>
      </c>
      <c r="C13" s="20">
        <f>SUM(C10:C12)</f>
        <v/>
      </c>
      <c r="D13" s="20">
        <f>SUM(D10:D12)</f>
        <v/>
      </c>
      <c r="E13" s="20">
        <f>SUM(E10:E12)</f>
        <v/>
      </c>
      <c r="F13" s="20">
        <f>SUM(F10:F12)</f>
        <v/>
      </c>
      <c r="G13" s="20">
        <f>SUM(G10:G12)</f>
        <v/>
      </c>
      <c r="H13" s="20">
        <f>SUM(H10:H12)</f>
        <v/>
      </c>
      <c r="I13" s="20">
        <f>SUM(I10:I12)</f>
        <v/>
      </c>
      <c r="J13" s="20">
        <f>SUM(J10:J12)</f>
        <v/>
      </c>
      <c r="K13" s="20">
        <f>SUM(K10:K12)</f>
        <v/>
      </c>
      <c r="L13" s="20">
        <f>SUM(L10:L12)</f>
        <v/>
      </c>
      <c r="M13" s="20">
        <f>SUM(M10:M12)</f>
        <v/>
      </c>
      <c r="N13" s="20">
        <f>SUM(N10:N12)</f>
        <v/>
      </c>
      <c r="O13" s="20">
        <f>SUM(O10:O12)</f>
        <v/>
      </c>
      <c r="P13" s="20">
        <f>SUM(P10:P12)</f>
        <v/>
      </c>
      <c r="Q13" s="20">
        <f>SUM(Q10:Q12)</f>
        <v/>
      </c>
      <c r="R13" s="20">
        <f>SUM(R10:R12)</f>
        <v/>
      </c>
      <c r="S13" s="20">
        <f>SUM(S10:S12)</f>
        <v/>
      </c>
      <c r="T13" s="20">
        <f>SUM(T10:T12)</f>
        <v/>
      </c>
      <c r="U13" s="20">
        <f>SUM(U10:U12)</f>
        <v/>
      </c>
      <c r="V13" s="20">
        <f>SUM(V10:V12)</f>
        <v/>
      </c>
      <c r="W13" s="20">
        <f>SUM(W10:W12)</f>
        <v/>
      </c>
    </row>
    <row r="14">
      <c r="B14" s="7" t="inlineStr">
        <is>
          <t>DSC RATIO</t>
        </is>
      </c>
      <c r="C14" s="31">
        <f>IFERROR(C9/C13, 0)</f>
        <v/>
      </c>
      <c r="D14" s="31">
        <f>IFERROR(D9/D13, 0)</f>
        <v/>
      </c>
      <c r="E14" s="31">
        <f>IFERROR(E9/E13, 0)</f>
        <v/>
      </c>
      <c r="F14" s="31">
        <f>IFERROR(F9/F13, 0)</f>
        <v/>
      </c>
      <c r="G14" s="31">
        <f>IFERROR(G9/G13, 0)</f>
        <v/>
      </c>
      <c r="H14" s="31">
        <f>IFERROR(H9/H13, 0)</f>
        <v/>
      </c>
      <c r="I14" s="31">
        <f>IFERROR(I9/I13, 0)</f>
        <v/>
      </c>
      <c r="J14" s="31">
        <f>IFERROR(J9/J13, 0)</f>
        <v/>
      </c>
      <c r="K14" s="31">
        <f>IFERROR(K9/K13, 0)</f>
        <v/>
      </c>
      <c r="L14" s="31">
        <f>IFERROR(L9/L13, 0)</f>
        <v/>
      </c>
      <c r="M14" s="31">
        <f>IFERROR(M9/M13, 0)</f>
        <v/>
      </c>
      <c r="N14" s="31">
        <f>IFERROR(N9/N13, 0)</f>
        <v/>
      </c>
      <c r="O14" s="31">
        <f>IFERROR(O9/O13, 0)</f>
        <v/>
      </c>
      <c r="P14" s="31">
        <f>IFERROR(P9/P13, 0)</f>
        <v/>
      </c>
      <c r="Q14" s="31">
        <f>IFERROR(Q9/Q13, 0)</f>
        <v/>
      </c>
      <c r="R14" s="31">
        <f>IFERROR(R9/R13, 0)</f>
        <v/>
      </c>
      <c r="S14" s="31">
        <f>IFERROR(S9/S13, 0)</f>
        <v/>
      </c>
      <c r="T14" s="31">
        <f>IFERROR(T9/T13, 0)</f>
        <v/>
      </c>
      <c r="U14" s="31">
        <f>IFERROR(U9/U13, 0)</f>
        <v/>
      </c>
      <c r="V14" s="31">
        <f>IFERROR(V9/V13, 0)</f>
        <v/>
      </c>
      <c r="W14" s="31">
        <f>IFERROR(W9/W13, 0)</f>
        <v/>
      </c>
    </row>
  </sheetData>
  <mergeCells count="1">
    <mergeCell ref="B2:V2"/>
  </mergeCells>
  <conditionalFormatting sqref="C14">
    <cfRule type="cellIs" priority="1" operator="lessThan" dxfId="0">
      <formula>1.3</formula>
    </cfRule>
    <cfRule type="cellIs" priority="2" operator="greaterThanOrEqual" dxfId="1">
      <formula>1.5</formula>
    </cfRule>
  </conditionalFormatting>
  <conditionalFormatting sqref="D14">
    <cfRule type="cellIs" priority="3" operator="lessThan" dxfId="0">
      <formula>1.3</formula>
    </cfRule>
    <cfRule type="cellIs" priority="4" operator="greaterThanOrEqual" dxfId="1">
      <formula>1.5</formula>
    </cfRule>
  </conditionalFormatting>
  <conditionalFormatting sqref="E14">
    <cfRule type="cellIs" priority="5" operator="lessThan" dxfId="0">
      <formula>1.3</formula>
    </cfRule>
    <cfRule type="cellIs" priority="6" operator="greaterThanOrEqual" dxfId="1">
      <formula>1.5</formula>
    </cfRule>
  </conditionalFormatting>
  <conditionalFormatting sqref="F14">
    <cfRule type="cellIs" priority="7" operator="lessThan" dxfId="0">
      <formula>1.3</formula>
    </cfRule>
    <cfRule type="cellIs" priority="8" operator="greaterThanOrEqual" dxfId="1">
      <formula>1.5</formula>
    </cfRule>
  </conditionalFormatting>
  <conditionalFormatting sqref="G14">
    <cfRule type="cellIs" priority="9" operator="lessThan" dxfId="0">
      <formula>1.3</formula>
    </cfRule>
    <cfRule type="cellIs" priority="10" operator="greaterThanOrEqual" dxfId="1">
      <formula>1.5</formula>
    </cfRule>
  </conditionalFormatting>
  <conditionalFormatting sqref="H14">
    <cfRule type="cellIs" priority="11" operator="lessThan" dxfId="0">
      <formula>1.3</formula>
    </cfRule>
    <cfRule type="cellIs" priority="12" operator="greaterThanOrEqual" dxfId="1">
      <formula>1.5</formula>
    </cfRule>
  </conditionalFormatting>
  <conditionalFormatting sqref="I14">
    <cfRule type="cellIs" priority="13" operator="lessThan" dxfId="0">
      <formula>1.3</formula>
    </cfRule>
    <cfRule type="cellIs" priority="14" operator="greaterThanOrEqual" dxfId="1">
      <formula>1.5</formula>
    </cfRule>
  </conditionalFormatting>
  <conditionalFormatting sqref="J14">
    <cfRule type="cellIs" priority="15" operator="lessThan" dxfId="0">
      <formula>1.3</formula>
    </cfRule>
    <cfRule type="cellIs" priority="16" operator="greaterThanOrEqual" dxfId="1">
      <formula>1.5</formula>
    </cfRule>
  </conditionalFormatting>
  <conditionalFormatting sqref="K14">
    <cfRule type="cellIs" priority="17" operator="lessThan" dxfId="0">
      <formula>1.3</formula>
    </cfRule>
    <cfRule type="cellIs" priority="18" operator="greaterThanOrEqual" dxfId="1">
      <formula>1.5</formula>
    </cfRule>
  </conditionalFormatting>
  <conditionalFormatting sqref="L14">
    <cfRule type="cellIs" priority="19" operator="lessThan" dxfId="0">
      <formula>1.3</formula>
    </cfRule>
    <cfRule type="cellIs" priority="20" operator="greaterThanOrEqual" dxfId="1">
      <formula>1.5</formula>
    </cfRule>
  </conditionalFormatting>
  <conditionalFormatting sqref="M14">
    <cfRule type="cellIs" priority="21" operator="lessThan" dxfId="0">
      <formula>1.3</formula>
    </cfRule>
    <cfRule type="cellIs" priority="22" operator="greaterThanOrEqual" dxfId="1">
      <formula>1.5</formula>
    </cfRule>
  </conditionalFormatting>
  <conditionalFormatting sqref="N14">
    <cfRule type="cellIs" priority="23" operator="lessThan" dxfId="0">
      <formula>1.3</formula>
    </cfRule>
    <cfRule type="cellIs" priority="24" operator="greaterThanOrEqual" dxfId="1">
      <formula>1.5</formula>
    </cfRule>
  </conditionalFormatting>
  <conditionalFormatting sqref="O14">
    <cfRule type="cellIs" priority="25" operator="lessThan" dxfId="0">
      <formula>1.3</formula>
    </cfRule>
    <cfRule type="cellIs" priority="26" operator="greaterThanOrEqual" dxfId="1">
      <formula>1.5</formula>
    </cfRule>
  </conditionalFormatting>
  <conditionalFormatting sqref="P14">
    <cfRule type="cellIs" priority="27" operator="lessThan" dxfId="0">
      <formula>1.3</formula>
    </cfRule>
    <cfRule type="cellIs" priority="28" operator="greaterThanOrEqual" dxfId="1">
      <formula>1.5</formula>
    </cfRule>
  </conditionalFormatting>
  <conditionalFormatting sqref="Q14">
    <cfRule type="cellIs" priority="29" operator="lessThan" dxfId="0">
      <formula>1.3</formula>
    </cfRule>
    <cfRule type="cellIs" priority="30" operator="greaterThanOrEqual" dxfId="1">
      <formula>1.5</formula>
    </cfRule>
  </conditionalFormatting>
  <conditionalFormatting sqref="R14">
    <cfRule type="cellIs" priority="31" operator="lessThan" dxfId="0">
      <formula>1.3</formula>
    </cfRule>
    <cfRule type="cellIs" priority="32" operator="greaterThanOrEqual" dxfId="1">
      <formula>1.5</formula>
    </cfRule>
  </conditionalFormatting>
  <conditionalFormatting sqref="S14">
    <cfRule type="cellIs" priority="33" operator="lessThan" dxfId="0">
      <formula>1.3</formula>
    </cfRule>
    <cfRule type="cellIs" priority="34" operator="greaterThanOrEqual" dxfId="1">
      <formula>1.5</formula>
    </cfRule>
  </conditionalFormatting>
  <conditionalFormatting sqref="T14">
    <cfRule type="cellIs" priority="35" operator="lessThan" dxfId="0">
      <formula>1.3</formula>
    </cfRule>
    <cfRule type="cellIs" priority="36" operator="greaterThanOrEqual" dxfId="1">
      <formula>1.5</formula>
    </cfRule>
  </conditionalFormatting>
  <conditionalFormatting sqref="U14">
    <cfRule type="cellIs" priority="37" operator="lessThan" dxfId="0">
      <formula>1.3</formula>
    </cfRule>
    <cfRule type="cellIs" priority="38" operator="greaterThanOrEqual" dxfId="1">
      <formula>1.5</formula>
    </cfRule>
  </conditionalFormatting>
  <conditionalFormatting sqref="V14">
    <cfRule type="cellIs" priority="39" operator="lessThan" dxfId="0">
      <formula>1.3</formula>
    </cfRule>
    <cfRule type="cellIs" priority="40" operator="greaterThanOrEqual" dxfId="1">
      <formula>1.5</formula>
    </cfRule>
  </conditionalFormatting>
  <conditionalFormatting sqref="W14">
    <cfRule type="cellIs" priority="41" operator="lessThan" dxfId="0">
      <formula>1.3</formula>
    </cfRule>
    <cfRule type="cellIs" priority="42" operator="greaterThanOrEqual" dxfId="1">
      <formula>1.5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B2:H5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8" customWidth="1" min="3" max="3"/>
    <col width="16" customWidth="1" min="4" max="4"/>
    <col width="18" customWidth="1" min="5" max="5"/>
    <col width="16" customWidth="1" min="6" max="6"/>
    <col width="18" customWidth="1" min="7" max="7"/>
    <col width="18" customWidth="1" min="8" max="8"/>
  </cols>
  <sheetData>
    <row r="2">
      <c r="B2" s="6" t="inlineStr">
        <is>
          <t>BVC LISTING VALUATION — 47 IPOs Y3 target</t>
        </is>
      </c>
    </row>
    <row r="4" ht="30" customHeight="1">
      <c r="B4" s="6" t="inlineStr">
        <is>
          <t>Empresa</t>
        </is>
      </c>
      <c r="C4" s="6" t="inlineStr">
        <is>
          <t>Sector</t>
        </is>
      </c>
      <c r="D4" s="6" t="inlineStr">
        <is>
          <t>Pre-IPO Val (mmUSD)</t>
        </is>
      </c>
      <c r="E4" s="6" t="inlineStr">
        <is>
          <t>IPO Size (mmUSD)</t>
        </is>
      </c>
      <c r="F4" s="6" t="inlineStr">
        <is>
          <t>Post-Money (mmUSD)</t>
        </is>
      </c>
      <c r="G4" s="6" t="inlineStr">
        <is>
          <t>Free Float %</t>
        </is>
      </c>
      <c r="H4" s="6" t="inlineStr">
        <is>
          <t>Market Cap BVC Y3</t>
        </is>
      </c>
    </row>
    <row r="5">
      <c r="B5" s="7" t="inlineStr">
        <is>
          <t>Sidor</t>
        </is>
      </c>
      <c r="C5" s="32" t="inlineStr">
        <is>
          <t>Acero</t>
        </is>
      </c>
      <c r="D5" s="26" t="n">
        <v>3200</v>
      </c>
      <c r="E5" s="26" t="n">
        <v>1500</v>
      </c>
      <c r="F5" s="19">
        <f>D5+E5</f>
        <v/>
      </c>
      <c r="G5" s="11" t="n">
        <v>0.3</v>
      </c>
      <c r="H5" s="19">
        <f>F5*1.30</f>
        <v/>
      </c>
    </row>
    <row r="6">
      <c r="B6" s="7" t="inlineStr">
        <is>
          <t>Venalum</t>
        </is>
      </c>
      <c r="C6" s="32" t="inlineStr">
        <is>
          <t>Aluminio</t>
        </is>
      </c>
      <c r="D6" s="26" t="n">
        <v>1200</v>
      </c>
      <c r="E6" s="26" t="n">
        <v>600</v>
      </c>
      <c r="F6" s="19">
        <f>D6+E6</f>
        <v/>
      </c>
      <c r="G6" s="11" t="n">
        <v>0.3</v>
      </c>
      <c r="H6" s="19">
        <f>F6*1.30</f>
        <v/>
      </c>
    </row>
    <row r="7">
      <c r="B7" s="7" t="inlineStr">
        <is>
          <t>Alcasa</t>
        </is>
      </c>
      <c r="C7" s="32" t="inlineStr">
        <is>
          <t>Aluminio</t>
        </is>
      </c>
      <c r="D7" s="26" t="n">
        <v>600</v>
      </c>
      <c r="E7" s="26" t="n">
        <v>280</v>
      </c>
      <c r="F7" s="19">
        <f>D7+E7</f>
        <v/>
      </c>
      <c r="G7" s="11" t="n">
        <v>0.3</v>
      </c>
      <c r="H7" s="19">
        <f>F7*1.30</f>
        <v/>
      </c>
    </row>
    <row r="8">
      <c r="B8" s="7" t="inlineStr">
        <is>
          <t>Ferrominera</t>
        </is>
      </c>
      <c r="C8" s="32" t="inlineStr">
        <is>
          <t>Hierro</t>
        </is>
      </c>
      <c r="D8" s="26" t="n">
        <v>2800</v>
      </c>
      <c r="E8" s="26" t="n">
        <v>1400</v>
      </c>
      <c r="F8" s="19">
        <f>D8+E8</f>
        <v/>
      </c>
      <c r="G8" s="11" t="n">
        <v>0.3</v>
      </c>
      <c r="H8" s="19">
        <f>F8*1.30</f>
        <v/>
      </c>
    </row>
    <row r="9">
      <c r="B9" s="7" t="inlineStr">
        <is>
          <t>CANTV</t>
        </is>
      </c>
      <c r="C9" s="32" t="inlineStr">
        <is>
          <t>Telecom</t>
        </is>
      </c>
      <c r="D9" s="26" t="n">
        <v>1800</v>
      </c>
      <c r="E9" s="26" t="n">
        <v>900</v>
      </c>
      <c r="F9" s="19">
        <f>D9+E9</f>
        <v/>
      </c>
      <c r="G9" s="11" t="n">
        <v>0.3</v>
      </c>
      <c r="H9" s="19">
        <f>F9*1.30</f>
        <v/>
      </c>
    </row>
    <row r="10">
      <c r="B10" s="7" t="inlineStr">
        <is>
          <t>Movilnet</t>
        </is>
      </c>
      <c r="C10" s="32" t="inlineStr">
        <is>
          <t>Telecom móvil</t>
        </is>
      </c>
      <c r="D10" s="26" t="n">
        <v>900</v>
      </c>
      <c r="E10" s="26" t="n">
        <v>450</v>
      </c>
      <c r="F10" s="19">
        <f>D10+E10</f>
        <v/>
      </c>
      <c r="G10" s="11" t="n">
        <v>0.3</v>
      </c>
      <c r="H10" s="19">
        <f>F10*1.30</f>
        <v/>
      </c>
    </row>
    <row r="11">
      <c r="B11" s="7" t="inlineStr">
        <is>
          <t>Banco de Venezuela</t>
        </is>
      </c>
      <c r="C11" s="32" t="inlineStr">
        <is>
          <t>Banca</t>
        </is>
      </c>
      <c r="D11" s="26" t="n">
        <v>1600</v>
      </c>
      <c r="E11" s="26" t="n">
        <v>800</v>
      </c>
      <c r="F11" s="19">
        <f>D11+E11</f>
        <v/>
      </c>
      <c r="G11" s="11" t="n">
        <v>0.3</v>
      </c>
      <c r="H11" s="19">
        <f>F11*1.30</f>
        <v/>
      </c>
    </row>
    <row r="12">
      <c r="B12" s="7" t="inlineStr">
        <is>
          <t>Banco del Tesoro</t>
        </is>
      </c>
      <c r="C12" s="32" t="inlineStr">
        <is>
          <t>Banca</t>
        </is>
      </c>
      <c r="D12" s="26" t="n">
        <v>600</v>
      </c>
      <c r="E12" s="26" t="n">
        <v>300</v>
      </c>
      <c r="F12" s="19">
        <f>D12+E12</f>
        <v/>
      </c>
      <c r="G12" s="11" t="n">
        <v>0.3</v>
      </c>
      <c r="H12" s="19">
        <f>F12*1.30</f>
        <v/>
      </c>
    </row>
    <row r="13">
      <c r="B13" s="7" t="inlineStr">
        <is>
          <t>Banco Bicentenario</t>
        </is>
      </c>
      <c r="C13" s="32" t="inlineStr">
        <is>
          <t>Banca</t>
        </is>
      </c>
      <c r="D13" s="26" t="n">
        <v>700</v>
      </c>
      <c r="E13" s="26" t="n">
        <v>350</v>
      </c>
      <c r="F13" s="19">
        <f>D13+E13</f>
        <v/>
      </c>
      <c r="G13" s="11" t="n">
        <v>0.3</v>
      </c>
      <c r="H13" s="19">
        <f>F13*1.30</f>
        <v/>
      </c>
    </row>
    <row r="14">
      <c r="B14" s="7" t="inlineStr">
        <is>
          <t>Bansoc + Agrícola consol.</t>
        </is>
      </c>
      <c r="C14" s="32" t="inlineStr">
        <is>
          <t>Banca</t>
        </is>
      </c>
      <c r="D14" s="26" t="n">
        <v>450</v>
      </c>
      <c r="E14" s="26" t="n">
        <v>220</v>
      </c>
      <c r="F14" s="19">
        <f>D14+E14</f>
        <v/>
      </c>
      <c r="G14" s="11" t="n">
        <v>0.3</v>
      </c>
      <c r="H14" s="19">
        <f>F14*1.30</f>
        <v/>
      </c>
    </row>
    <row r="15">
      <c r="B15" s="7" t="inlineStr">
        <is>
          <t>Corpoelec Gen. Térmica</t>
        </is>
      </c>
      <c r="C15" s="32" t="inlineStr">
        <is>
          <t>Eléctrico</t>
        </is>
      </c>
      <c r="D15" s="26" t="n">
        <v>2200</v>
      </c>
      <c r="E15" s="26" t="n">
        <v>1100</v>
      </c>
      <c r="F15" s="19">
        <f>D15+E15</f>
        <v/>
      </c>
      <c r="G15" s="11" t="n">
        <v>0.3</v>
      </c>
      <c r="H15" s="19">
        <f>F15*1.30</f>
        <v/>
      </c>
    </row>
    <row r="16">
      <c r="B16" s="7" t="inlineStr">
        <is>
          <t>Corpoelec 3 GenCos dist.</t>
        </is>
      </c>
      <c r="C16" s="32" t="inlineStr">
        <is>
          <t>Eléctrico</t>
        </is>
      </c>
      <c r="D16" s="26" t="n">
        <v>3600</v>
      </c>
      <c r="E16" s="26" t="n">
        <v>1800</v>
      </c>
      <c r="F16" s="19">
        <f>D16+E16</f>
        <v/>
      </c>
      <c r="G16" s="11" t="n">
        <v>0.3</v>
      </c>
      <c r="H16" s="19">
        <f>F16*1.30</f>
        <v/>
      </c>
    </row>
    <row r="17">
      <c r="B17" s="7" t="inlineStr">
        <is>
          <t>Pequiven</t>
        </is>
      </c>
      <c r="C17" s="32" t="inlineStr">
        <is>
          <t>Petroquímica</t>
        </is>
      </c>
      <c r="D17" s="26" t="n">
        <v>2400</v>
      </c>
      <c r="E17" s="26" t="n">
        <v>1200</v>
      </c>
      <c r="F17" s="19">
        <f>D17+E17</f>
        <v/>
      </c>
      <c r="G17" s="11" t="n">
        <v>0.3</v>
      </c>
      <c r="H17" s="19">
        <f>F17*1.30</f>
        <v/>
      </c>
    </row>
    <row r="18">
      <c r="B18" s="7" t="inlineStr">
        <is>
          <t>CRP Cardón</t>
        </is>
      </c>
      <c r="C18" s="32" t="inlineStr">
        <is>
          <t>Refinación</t>
        </is>
      </c>
      <c r="D18" s="26" t="n">
        <v>2800</v>
      </c>
      <c r="E18" s="26" t="n">
        <v>1200</v>
      </c>
      <c r="F18" s="19">
        <f>D18+E18</f>
        <v/>
      </c>
      <c r="G18" s="11" t="n">
        <v>0.25</v>
      </c>
      <c r="H18" s="19">
        <f>F18*1.30</f>
        <v/>
      </c>
    </row>
    <row r="19">
      <c r="B19" s="7" t="inlineStr">
        <is>
          <t>Amuay</t>
        </is>
      </c>
      <c r="C19" s="32" t="inlineStr">
        <is>
          <t>Refinación</t>
        </is>
      </c>
      <c r="D19" s="26" t="n">
        <v>3200</v>
      </c>
      <c r="E19" s="26" t="n">
        <v>1300</v>
      </c>
      <c r="F19" s="19">
        <f>D19+E19</f>
        <v/>
      </c>
      <c r="G19" s="11" t="n">
        <v>0.25</v>
      </c>
      <c r="H19" s="19">
        <f>F19*1.30</f>
        <v/>
      </c>
    </row>
    <row r="20">
      <c r="B20" s="7" t="inlineStr">
        <is>
          <t>El Palito</t>
        </is>
      </c>
      <c r="C20" s="32" t="inlineStr">
        <is>
          <t>Refinación</t>
        </is>
      </c>
      <c r="D20" s="26" t="n">
        <v>1100</v>
      </c>
      <c r="E20" s="26" t="n">
        <v>500</v>
      </c>
      <c r="F20" s="19">
        <f>D20+E20</f>
        <v/>
      </c>
      <c r="G20" s="11" t="n">
        <v>0.25</v>
      </c>
      <c r="H20" s="19">
        <f>F20*1.30</f>
        <v/>
      </c>
    </row>
    <row r="21">
      <c r="B21" s="7" t="inlineStr">
        <is>
          <t>PDVSA Marina</t>
        </is>
      </c>
      <c r="C21" s="32" t="inlineStr">
        <is>
          <t>Logística</t>
        </is>
      </c>
      <c r="D21" s="26" t="n">
        <v>1500</v>
      </c>
      <c r="E21" s="26" t="n">
        <v>700</v>
      </c>
      <c r="F21" s="19">
        <f>D21+E21</f>
        <v/>
      </c>
      <c r="G21" s="11" t="n">
        <v>0.3</v>
      </c>
      <c r="H21" s="19">
        <f>F21*1.30</f>
        <v/>
      </c>
    </row>
    <row r="22">
      <c r="B22" s="7" t="inlineStr">
        <is>
          <t>Bariven</t>
        </is>
      </c>
      <c r="C22" s="32" t="inlineStr">
        <is>
          <t>Procurement</t>
        </is>
      </c>
      <c r="D22" s="26" t="n">
        <v>600</v>
      </c>
      <c r="E22" s="26" t="n">
        <v>300</v>
      </c>
      <c r="F22" s="19">
        <f>D22+E22</f>
        <v/>
      </c>
      <c r="G22" s="11" t="n">
        <v>0.3</v>
      </c>
      <c r="H22" s="19">
        <f>F22*1.30</f>
        <v/>
      </c>
    </row>
    <row r="23">
      <c r="B23" s="7" t="inlineStr">
        <is>
          <t>Aviación consolidada</t>
        </is>
      </c>
      <c r="C23" s="32" t="inlineStr">
        <is>
          <t>Aviación</t>
        </is>
      </c>
      <c r="D23" s="26" t="n">
        <v>480</v>
      </c>
      <c r="E23" s="26" t="n">
        <v>220</v>
      </c>
      <c r="F23" s="19">
        <f>D23+E23</f>
        <v/>
      </c>
      <c r="G23" s="11" t="n">
        <v>0.3</v>
      </c>
      <c r="H23" s="19">
        <f>F23*1.30</f>
        <v/>
      </c>
    </row>
    <row r="24">
      <c r="B24" s="7" t="inlineStr">
        <is>
          <t>Cementos consolidados</t>
        </is>
      </c>
      <c r="C24" s="32" t="inlineStr">
        <is>
          <t>Cemento</t>
        </is>
      </c>
      <c r="D24" s="26" t="n">
        <v>750</v>
      </c>
      <c r="E24" s="26" t="n">
        <v>350</v>
      </c>
      <c r="F24" s="19">
        <f>D24+E24</f>
        <v/>
      </c>
      <c r="G24" s="11" t="n">
        <v>0.3</v>
      </c>
      <c r="H24" s="19">
        <f>F24*1.30</f>
        <v/>
      </c>
    </row>
    <row r="25">
      <c r="B25" s="7" t="inlineStr">
        <is>
          <t>Lácteos Los Andes</t>
        </is>
      </c>
      <c r="C25" s="32" t="inlineStr">
        <is>
          <t>Alimentos</t>
        </is>
      </c>
      <c r="D25" s="26" t="n">
        <v>220</v>
      </c>
      <c r="E25" s="26" t="n">
        <v>100</v>
      </c>
      <c r="F25" s="19">
        <f>D25+E25</f>
        <v/>
      </c>
      <c r="G25" s="11" t="n">
        <v>0.3</v>
      </c>
      <c r="H25" s="19">
        <f>F25*1.30</f>
        <v/>
      </c>
    </row>
    <row r="26">
      <c r="B26" s="7" t="inlineStr">
        <is>
          <t>Café consolidado</t>
        </is>
      </c>
      <c r="C26" s="32" t="inlineStr">
        <is>
          <t>Alimentos</t>
        </is>
      </c>
      <c r="D26" s="26" t="n">
        <v>180</v>
      </c>
      <c r="E26" s="26" t="n">
        <v>80</v>
      </c>
      <c r="F26" s="19">
        <f>D26+E26</f>
        <v/>
      </c>
      <c r="G26" s="11" t="n">
        <v>0.3</v>
      </c>
      <c r="H26" s="19">
        <f>F26*1.30</f>
        <v/>
      </c>
    </row>
    <row r="27">
      <c r="B27" s="7" t="inlineStr">
        <is>
          <t>Azucarera nacional</t>
        </is>
      </c>
      <c r="C27" s="32" t="inlineStr">
        <is>
          <t>Alimentos</t>
        </is>
      </c>
      <c r="D27" s="26" t="n">
        <v>240</v>
      </c>
      <c r="E27" s="26" t="n">
        <v>110</v>
      </c>
      <c r="F27" s="19">
        <f>D27+E27</f>
        <v/>
      </c>
      <c r="G27" s="11" t="n">
        <v>0.3</v>
      </c>
      <c r="H27" s="19">
        <f>F27*1.30</f>
        <v/>
      </c>
    </row>
    <row r="28">
      <c r="B28" s="7" t="inlineStr">
        <is>
          <t>Puertos consolidados</t>
        </is>
      </c>
      <c r="C28" s="32" t="inlineStr">
        <is>
          <t>Puertos</t>
        </is>
      </c>
      <c r="D28" s="26" t="n">
        <v>850</v>
      </c>
      <c r="E28" s="26" t="n">
        <v>400</v>
      </c>
      <c r="F28" s="19">
        <f>D28+E28</f>
        <v/>
      </c>
      <c r="G28" s="11" t="n">
        <v>0.3</v>
      </c>
      <c r="H28" s="19">
        <f>F28*1.30</f>
        <v/>
      </c>
    </row>
    <row r="29">
      <c r="B29" s="7" t="inlineStr">
        <is>
          <t>Aeropuertos consolidados</t>
        </is>
      </c>
      <c r="C29" s="32" t="inlineStr">
        <is>
          <t>Aeropuertos</t>
        </is>
      </c>
      <c r="D29" s="26" t="n">
        <v>480</v>
      </c>
      <c r="E29" s="26" t="n">
        <v>220</v>
      </c>
      <c r="F29" s="19">
        <f>D29+E29</f>
        <v/>
      </c>
      <c r="G29" s="11" t="n">
        <v>0.3</v>
      </c>
      <c r="H29" s="19">
        <f>F29*1.30</f>
        <v/>
      </c>
    </row>
    <row r="30">
      <c r="B30" s="7" t="inlineStr">
        <is>
          <t>Hidrocapital + Hidrolago</t>
        </is>
      </c>
      <c r="C30" s="32" t="inlineStr">
        <is>
          <t>Agua</t>
        </is>
      </c>
      <c r="D30" s="26" t="n">
        <v>600</v>
      </c>
      <c r="E30" s="26" t="n">
        <v>280</v>
      </c>
      <c r="F30" s="19">
        <f>D30+E30</f>
        <v/>
      </c>
      <c r="G30" s="11" t="n">
        <v>0.3</v>
      </c>
      <c r="H30" s="19">
        <f>F30*1.30</f>
        <v/>
      </c>
    </row>
    <row r="31">
      <c r="B31" s="7" t="inlineStr">
        <is>
          <t>Bolívar Coastal</t>
        </is>
      </c>
      <c r="C31" s="32" t="inlineStr">
        <is>
          <t>Logística</t>
        </is>
      </c>
      <c r="D31" s="26" t="n">
        <v>380</v>
      </c>
      <c r="E31" s="26" t="n">
        <v>180</v>
      </c>
      <c r="F31" s="19">
        <f>D31+E31</f>
        <v/>
      </c>
      <c r="G31" s="11" t="n">
        <v>0.3</v>
      </c>
      <c r="H31" s="19">
        <f>F31*1.30</f>
        <v/>
      </c>
    </row>
    <row r="32">
      <c r="B32" s="7" t="inlineStr">
        <is>
          <t>Minerven</t>
        </is>
      </c>
      <c r="C32" s="32" t="inlineStr">
        <is>
          <t>Oro</t>
        </is>
      </c>
      <c r="D32" s="26" t="n">
        <v>480</v>
      </c>
      <c r="E32" s="26" t="n">
        <v>220</v>
      </c>
      <c r="F32" s="19">
        <f>D32+E32</f>
        <v/>
      </c>
      <c r="G32" s="11" t="n">
        <v>0.3</v>
      </c>
      <c r="H32" s="19">
        <f>F32*1.30</f>
        <v/>
      </c>
    </row>
    <row r="33">
      <c r="B33" s="7" t="inlineStr">
        <is>
          <t>Carbones Orinoco</t>
        </is>
      </c>
      <c r="C33" s="32" t="inlineStr">
        <is>
          <t>Carbón</t>
        </is>
      </c>
      <c r="D33" s="26" t="n">
        <v>280</v>
      </c>
      <c r="E33" s="26" t="n">
        <v>130</v>
      </c>
      <c r="F33" s="19">
        <f>D33+E33</f>
        <v/>
      </c>
      <c r="G33" s="11" t="n">
        <v>0.3</v>
      </c>
      <c r="H33" s="19">
        <f>F33*1.30</f>
        <v/>
      </c>
    </row>
    <row r="34">
      <c r="B34" s="7" t="inlineStr">
        <is>
          <t>Sofitasa + Banplus</t>
        </is>
      </c>
      <c r="C34" s="32" t="inlineStr">
        <is>
          <t>Banca</t>
        </is>
      </c>
      <c r="D34" s="26" t="n">
        <v>380</v>
      </c>
      <c r="E34" s="26" t="n">
        <v>180</v>
      </c>
      <c r="F34" s="19">
        <f>D34+E34</f>
        <v/>
      </c>
      <c r="G34" s="11" t="n">
        <v>0.3</v>
      </c>
      <c r="H34" s="19">
        <f>F34*1.30</f>
        <v/>
      </c>
    </row>
    <row r="35">
      <c r="B35" s="7" t="inlineStr">
        <is>
          <t>CAVIM no-armas</t>
        </is>
      </c>
      <c r="C35" s="32" t="inlineStr">
        <is>
          <t>Manufactura</t>
        </is>
      </c>
      <c r="D35" s="26" t="n">
        <v>350</v>
      </c>
      <c r="E35" s="26" t="n">
        <v>160</v>
      </c>
      <c r="F35" s="19">
        <f>D35+E35</f>
        <v/>
      </c>
      <c r="G35" s="11" t="n">
        <v>0.3</v>
      </c>
      <c r="H35" s="19">
        <f>F35*1.30</f>
        <v/>
      </c>
    </row>
    <row r="36">
      <c r="B36" s="7" t="inlineStr">
        <is>
          <t>Petroquímica Morón</t>
        </is>
      </c>
      <c r="C36" s="32" t="inlineStr">
        <is>
          <t>Petroquímica</t>
        </is>
      </c>
      <c r="D36" s="26" t="n">
        <v>800</v>
      </c>
      <c r="E36" s="26" t="n">
        <v>400</v>
      </c>
      <c r="F36" s="19">
        <f>D36+E36</f>
        <v/>
      </c>
      <c r="G36" s="11" t="n">
        <v>0.3</v>
      </c>
      <c r="H36" s="19">
        <f>F36*1.30</f>
        <v/>
      </c>
    </row>
    <row r="37">
      <c r="B37" s="7" t="inlineStr">
        <is>
          <t>VeneEV</t>
        </is>
      </c>
      <c r="C37" s="32" t="inlineStr">
        <is>
          <t>Auto</t>
        </is>
      </c>
      <c r="D37" s="26" t="n">
        <v>1200</v>
      </c>
      <c r="E37" s="26" t="n">
        <v>600</v>
      </c>
      <c r="F37" s="19">
        <f>D37+E37</f>
        <v/>
      </c>
      <c r="G37" s="11" t="n">
        <v>0.3</v>
      </c>
      <c r="H37" s="19">
        <f>F37*1.30</f>
        <v/>
      </c>
    </row>
    <row r="38">
      <c r="B38" s="7" t="inlineStr">
        <is>
          <t>VeneSolar</t>
        </is>
      </c>
      <c r="C38" s="32" t="inlineStr">
        <is>
          <t>Solar</t>
        </is>
      </c>
      <c r="D38" s="26" t="n">
        <v>600</v>
      </c>
      <c r="E38" s="26" t="n">
        <v>280</v>
      </c>
      <c r="F38" s="19">
        <f>D38+E38</f>
        <v/>
      </c>
      <c r="G38" s="11" t="n">
        <v>0.3</v>
      </c>
      <c r="H38" s="19">
        <f>F38*1.30</f>
        <v/>
      </c>
    </row>
    <row r="39">
      <c r="B39" s="7" t="inlineStr">
        <is>
          <t>GuriCloud</t>
        </is>
      </c>
      <c r="C39" s="32" t="inlineStr">
        <is>
          <t>Datacenters</t>
        </is>
      </c>
      <c r="D39" s="26" t="n">
        <v>800</v>
      </c>
      <c r="E39" s="26" t="n">
        <v>400</v>
      </c>
      <c r="F39" s="19">
        <f>D39+E39</f>
        <v/>
      </c>
      <c r="G39" s="11" t="n">
        <v>0.3</v>
      </c>
      <c r="H39" s="19">
        <f>F39*1.30</f>
        <v/>
      </c>
    </row>
    <row r="40">
      <c r="B40" s="7" t="inlineStr">
        <is>
          <t>Bloque Junín mixto</t>
        </is>
      </c>
      <c r="C40" s="32" t="inlineStr">
        <is>
          <t>Petróleo</t>
        </is>
      </c>
      <c r="D40" s="26" t="n">
        <v>8000</v>
      </c>
      <c r="E40" s="26" t="n">
        <v>2400</v>
      </c>
      <c r="F40" s="19">
        <f>D40+E40</f>
        <v/>
      </c>
      <c r="G40" s="11" t="n">
        <v>0.3</v>
      </c>
      <c r="H40" s="19">
        <f>F40*1.30</f>
        <v/>
      </c>
    </row>
    <row r="41">
      <c r="B41" s="7" t="inlineStr">
        <is>
          <t>Bloque Carabobo</t>
        </is>
      </c>
      <c r="C41" s="32" t="inlineStr">
        <is>
          <t>Petróleo</t>
        </is>
      </c>
      <c r="D41" s="26" t="n">
        <v>7000</v>
      </c>
      <c r="E41" s="26" t="n">
        <v>2100</v>
      </c>
      <c r="F41" s="19">
        <f>D41+E41</f>
        <v/>
      </c>
      <c r="G41" s="11" t="n">
        <v>0.3</v>
      </c>
      <c r="H41" s="19">
        <f>F41*1.30</f>
        <v/>
      </c>
    </row>
    <row r="42">
      <c r="B42" s="7" t="inlineStr">
        <is>
          <t>Bloque Boyacá</t>
        </is>
      </c>
      <c r="C42" s="32" t="inlineStr">
        <is>
          <t>Petróleo</t>
        </is>
      </c>
      <c r="D42" s="26" t="n">
        <v>5500</v>
      </c>
      <c r="E42" s="26" t="n">
        <v>1650</v>
      </c>
      <c r="F42" s="19">
        <f>D42+E42</f>
        <v/>
      </c>
      <c r="G42" s="11" t="n">
        <v>0.3</v>
      </c>
      <c r="H42" s="19">
        <f>F42*1.30</f>
        <v/>
      </c>
    </row>
    <row r="43">
      <c r="B43" s="7" t="inlineStr">
        <is>
          <t>Bauxilum</t>
        </is>
      </c>
      <c r="C43" s="32" t="inlineStr">
        <is>
          <t>Bauxita</t>
        </is>
      </c>
      <c r="D43" s="26" t="n">
        <v>480</v>
      </c>
      <c r="E43" s="26" t="n">
        <v>220</v>
      </c>
      <c r="F43" s="19">
        <f>D43+E43</f>
        <v/>
      </c>
      <c r="G43" s="11" t="n">
        <v>0.3</v>
      </c>
      <c r="H43" s="19">
        <f>F43*1.30</f>
        <v/>
      </c>
    </row>
    <row r="44">
      <c r="B44" s="7" t="inlineStr">
        <is>
          <t>Briqueteras CVG</t>
        </is>
      </c>
      <c r="C44" s="32" t="inlineStr">
        <is>
          <t>DRI/HBI</t>
        </is>
      </c>
      <c r="D44" s="26" t="n">
        <v>800</v>
      </c>
      <c r="E44" s="26" t="n">
        <v>380</v>
      </c>
      <c r="F44" s="19">
        <f>D44+E44</f>
        <v/>
      </c>
      <c r="G44" s="11" t="n">
        <v>0.3</v>
      </c>
      <c r="H44" s="19">
        <f>F44*1.30</f>
        <v/>
      </c>
    </row>
    <row r="45">
      <c r="B45" s="7" t="inlineStr">
        <is>
          <t>Polar IPO (parcial)</t>
        </is>
      </c>
      <c r="C45" s="32" t="inlineStr">
        <is>
          <t>Consumo</t>
        </is>
      </c>
      <c r="D45" s="26" t="n">
        <v>4500</v>
      </c>
      <c r="E45" s="26" t="n">
        <v>1500</v>
      </c>
      <c r="F45" s="19">
        <f>D45+E45</f>
        <v/>
      </c>
      <c r="G45" s="11" t="n">
        <v>0.3</v>
      </c>
      <c r="H45" s="19">
        <f>F45*1.30</f>
        <v/>
      </c>
    </row>
    <row r="46">
      <c r="B46" s="7" t="inlineStr">
        <is>
          <t>Mercantil Servicios</t>
        </is>
      </c>
      <c r="C46" s="32" t="inlineStr">
        <is>
          <t>Banca privada</t>
        </is>
      </c>
      <c r="D46" s="26" t="n">
        <v>3200</v>
      </c>
      <c r="E46" s="26" t="n">
        <v>800</v>
      </c>
      <c r="F46" s="19">
        <f>D46+E46</f>
        <v/>
      </c>
      <c r="G46" s="11" t="n">
        <v>0.3</v>
      </c>
      <c r="H46" s="19">
        <f>F46*1.30</f>
        <v/>
      </c>
    </row>
    <row r="47">
      <c r="B47" s="7" t="inlineStr">
        <is>
          <t>BOD reestructurado</t>
        </is>
      </c>
      <c r="C47" s="32" t="inlineStr">
        <is>
          <t>Banca privada</t>
        </is>
      </c>
      <c r="D47" s="26" t="n">
        <v>1100</v>
      </c>
      <c r="E47" s="26" t="n">
        <v>350</v>
      </c>
      <c r="F47" s="19">
        <f>D47+E47</f>
        <v/>
      </c>
      <c r="G47" s="11" t="n">
        <v>0.3</v>
      </c>
      <c r="H47" s="19">
        <f>F47*1.30</f>
        <v/>
      </c>
    </row>
    <row r="48">
      <c r="B48" s="7" t="inlineStr">
        <is>
          <t>Conferry Caribe</t>
        </is>
      </c>
      <c r="C48" s="32" t="inlineStr">
        <is>
          <t>Naviero</t>
        </is>
      </c>
      <c r="D48" s="26" t="n">
        <v>280</v>
      </c>
      <c r="E48" s="26" t="n">
        <v>120</v>
      </c>
      <c r="F48" s="19">
        <f>D48+E48</f>
        <v/>
      </c>
      <c r="G48" s="11" t="n">
        <v>0.3</v>
      </c>
      <c r="H48" s="19">
        <f>F48*1.30</f>
        <v/>
      </c>
    </row>
    <row r="49">
      <c r="B49" s="7" t="inlineStr">
        <is>
          <t>Cluster turismo Los Roques</t>
        </is>
      </c>
      <c r="C49" s="32" t="inlineStr">
        <is>
          <t>Turismo</t>
        </is>
      </c>
      <c r="D49" s="26" t="n">
        <v>850</v>
      </c>
      <c r="E49" s="26" t="n">
        <v>350</v>
      </c>
      <c r="F49" s="19">
        <f>D49+E49</f>
        <v/>
      </c>
      <c r="G49" s="11" t="n">
        <v>0.3</v>
      </c>
      <c r="H49" s="19">
        <f>F49*1.30</f>
        <v/>
      </c>
    </row>
    <row r="50">
      <c r="B50" s="7" t="inlineStr">
        <is>
          <t>Cluster minero privado</t>
        </is>
      </c>
      <c r="C50" s="32" t="inlineStr">
        <is>
          <t>Minería privada</t>
        </is>
      </c>
      <c r="D50" s="26" t="n">
        <v>1800</v>
      </c>
      <c r="E50" s="26" t="n">
        <v>700</v>
      </c>
      <c r="F50" s="19">
        <f>D50+E50</f>
        <v/>
      </c>
      <c r="G50" s="11" t="n">
        <v>0.3</v>
      </c>
      <c r="H50" s="19">
        <f>F50*1.30</f>
        <v/>
      </c>
    </row>
    <row r="51">
      <c r="B51" s="7" t="inlineStr">
        <is>
          <t>AgroVZ consolidado</t>
        </is>
      </c>
      <c r="C51" s="32" t="inlineStr">
        <is>
          <t>Agroindustria</t>
        </is>
      </c>
      <c r="D51" s="26" t="n">
        <v>2200</v>
      </c>
      <c r="E51" s="26" t="n">
        <v>900</v>
      </c>
      <c r="F51" s="19">
        <f>D51+E51</f>
        <v/>
      </c>
      <c r="G51" s="11" t="n">
        <v>0.3</v>
      </c>
      <c r="H51" s="19">
        <f>F51*1.30</f>
        <v/>
      </c>
    </row>
    <row r="53">
      <c r="B53" s="7" t="inlineStr">
        <is>
          <t>TOTAL BVC MARKET CAP Y3</t>
        </is>
      </c>
      <c r="D53" s="20">
        <f>SUM(D5:D51)</f>
        <v/>
      </c>
      <c r="E53" s="20">
        <f>SUM(E5:E51)</f>
        <v/>
      </c>
      <c r="F53" s="20">
        <f>SUM(F5:F51)</f>
        <v/>
      </c>
      <c r="H53" s="20">
        <f>SUM(H5:H51)</f>
        <v/>
      </c>
    </row>
  </sheetData>
  <mergeCells count="1">
    <mergeCell ref="B2:H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2026-05-10T21:05:47Z</dcterms:created>
  <dcterms:modified xmlns:dcterms="http://purl.org/dc/terms/" xmlns:xsi="http://www.w3.org/2001/XMLSchema-instance" xsi:type="dcterms:W3CDTF">2026-05-10T21:05:47Z</dcterms:modified>
</cp:coreProperties>
</file>